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drawings/drawing11.xml" ContentType="application/vnd.openxmlformats-officedocument.drawing+xml"/>
  <Override PartName="/xl/comments20.xml" ContentType="application/vnd.openxmlformats-officedocument.spreadsheetml.comments+xml"/>
  <Override PartName="/xl/drawings/drawing12.xml" ContentType="application/vnd.openxmlformats-officedocument.drawing+xml"/>
  <Override PartName="/xl/comments21.xml" ContentType="application/vnd.openxmlformats-officedocument.spreadsheetml.comments+xml"/>
  <Override PartName="/xl/drawings/drawing13.xml" ContentType="application/vnd.openxmlformats-officedocument.drawing+xml"/>
  <Override PartName="/xl/comments22.xml" ContentType="application/vnd.openxmlformats-officedocument.spreadsheetml.comments+xml"/>
  <Override PartName="/xl/drawings/drawing14.xml" ContentType="application/vnd.openxmlformats-officedocument.drawing+xml"/>
  <Override PartName="/xl/comments2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24.xml" ContentType="application/vnd.openxmlformats-officedocument.spreadsheetml.comments+xml"/>
  <Override PartName="/xl/drawings/drawing17.xml" ContentType="application/vnd.openxmlformats-officedocument.drawing+xml"/>
  <Override PartName="/xl/comments25.xml" ContentType="application/vnd.openxmlformats-officedocument.spreadsheetml.comments+xml"/>
  <Override PartName="/xl/drawings/drawing18.xml" ContentType="application/vnd.openxmlformats-officedocument.drawing+xml"/>
  <Override PartName="/xl/comments26.xml" ContentType="application/vnd.openxmlformats-officedocument.spreadsheetml.comments+xml"/>
  <Override PartName="/xl/drawings/drawing19.xml" ContentType="application/vnd.openxmlformats-officedocument.drawing+xml"/>
  <Override PartName="/xl/comments27.xml" ContentType="application/vnd.openxmlformats-officedocument.spreadsheetml.comments+xml"/>
  <Override PartName="/xl/drawings/drawing20.xml" ContentType="application/vnd.openxmlformats-officedocument.drawing+xml"/>
  <Override PartName="/xl/comments28.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29.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30.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3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32.xml" ContentType="application/vnd.openxmlformats-officedocument.spreadsheetml.comments+xml"/>
  <Override PartName="/xl/drawings/drawing29.xml" ContentType="application/vnd.openxmlformats-officedocument.drawing+xml"/>
  <Override PartName="/xl/comments33.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39.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40.xml" ContentType="application/vnd.openxmlformats-officedocument.spreadsheetml.comments+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Christian\Downloads\"/>
    </mc:Choice>
  </mc:AlternateContent>
  <xr:revisionPtr revIDLastSave="0" documentId="13_ncr:1_{08DC22DB-83C3-493D-9876-E14EAC1296BF}" xr6:coauthVersionLast="47" xr6:coauthVersionMax="47" xr10:uidLastSave="{00000000-0000-0000-0000-000000000000}"/>
  <bookViews>
    <workbookView xWindow="20370" yWindow="-3255" windowWidth="29040" windowHeight="15840" tabRatio="703" firstSheet="56" activeTab="83" xr2:uid="{00000000-000D-0000-FFFF-FFFF00000000}"/>
  </bookViews>
  <sheets>
    <sheet name="Ejercicio 1" sheetId="1" r:id="rId1"/>
    <sheet name="Ejercicio 2 TEA con TNA" sheetId="2" r:id="rId2"/>
    <sheet name="Ejercicio 3" sheetId="3" r:id="rId3"/>
    <sheet name="Ejercicio 4" sheetId="4" r:id="rId4"/>
    <sheet name="Ejercicio 5" sheetId="5" r:id="rId5"/>
    <sheet name="Ejercicio 6" sheetId="6" r:id="rId6"/>
    <sheet name="Ejercicio 7" sheetId="7" r:id="rId7"/>
    <sheet name="Ejercicio 8" sheetId="8" r:id="rId8"/>
    <sheet name="Ejercicio  9" sheetId="9" r:id="rId9"/>
    <sheet name="Ejercicio 10" sheetId="10" r:id="rId10"/>
    <sheet name="Ejercicio 11" sheetId="11" r:id="rId11"/>
    <sheet name="Ejercicio 12" sheetId="12" r:id="rId12"/>
    <sheet name="Ejercicio 13" sheetId="13" r:id="rId13"/>
    <sheet name="Ejercicio  14" sheetId="14" r:id="rId14"/>
    <sheet name="Ejercicio 15" sheetId="15" r:id="rId15"/>
    <sheet name="Ejercicio  16" sheetId="16" r:id="rId16"/>
    <sheet name="Ejercicio 17" sheetId="17" r:id="rId17"/>
    <sheet name="Ejercico 18" sheetId="18" r:id="rId18"/>
    <sheet name="Ejercicio 19" sheetId="19" r:id="rId19"/>
    <sheet name="Ejercicio 23" sheetId="20" r:id="rId20"/>
    <sheet name="Ejercico 27 PRESTAMO" sheetId="21" r:id="rId21"/>
    <sheet name="Ejercico 32" sheetId="24" r:id="rId22"/>
    <sheet name="Ejercicio 33" sheetId="25" r:id="rId23"/>
    <sheet name="Ejercicio 34 Alternativa 1" sheetId="26" r:id="rId24"/>
    <sheet name="Ejercicio 34 Alternativa 2" sheetId="27" r:id="rId25"/>
    <sheet name="Ejercicio 35 Alternativa 1" sheetId="28" r:id="rId26"/>
    <sheet name="Ejercicio 35 Alternativa 2" sheetId="29" r:id="rId27"/>
    <sheet name="Ejercicio 36" sheetId="30" r:id="rId28"/>
    <sheet name="Parcial" sheetId="31" r:id="rId29"/>
    <sheet name="Sheet1" sheetId="33" r:id="rId30"/>
    <sheet name="Ejercicio 37" sheetId="32" r:id="rId31"/>
    <sheet name="Ejercicio 31" sheetId="23" r:id="rId32"/>
    <sheet name="Ejercicio 30 OK " sheetId="22" r:id="rId33"/>
    <sheet name="prestamo de nuevo ej 30 viejo" sheetId="34" r:id="rId34"/>
    <sheet name="Ej 30 guia nueva 2023 Ch OK" sheetId="35" r:id="rId35"/>
    <sheet name="Ej 31 guia nueva 2023 Ch OK" sheetId="38" r:id="rId36"/>
    <sheet name="Ej 32 guia nueva 2023 Ch OK " sheetId="39" r:id="rId37"/>
    <sheet name="Ej 33 guia nueva 2023 Ch OK" sheetId="40" r:id="rId38"/>
    <sheet name="Ej 34 guia nueva 2023 Ch OK" sheetId="41" r:id="rId39"/>
    <sheet name="Ej35guiaNueva2023Ch PRESTAMO" sheetId="42" r:id="rId40"/>
    <sheet name="Ej 36 guia nueva 2023 Ch OK" sheetId="43" r:id="rId41"/>
    <sheet name="Ej 37 guia nueva 2023 Ch OK" sheetId="45" r:id="rId42"/>
    <sheet name="Ej 38 guia nueva 2023 Ch OK" sheetId="47" r:id="rId43"/>
    <sheet name="1) Fi_060822_CHOCLO_conPrestOk" sheetId="49" r:id="rId44"/>
    <sheet name="1) Fi_060822_CHOCLO PRES EQUIL" sheetId="62" r:id="rId45"/>
    <sheet name="2) Fi_grandoso_bebidasEnerg" sheetId="52" r:id="rId46"/>
    <sheet name="CT de bibidas energ" sheetId="54" r:id="rId47"/>
    <sheet name="prestamo de bebidas energ" sheetId="55" r:id="rId48"/>
    <sheet name="3) 1erP 1C 2023 pisos deck" sheetId="51" r:id="rId49"/>
    <sheet name="3) WC - LISTO" sheetId="94" r:id="rId50"/>
    <sheet name="3) 1erP 1C 2023 pisos deck PTO4" sheetId="63" r:id="rId51"/>
    <sheet name="4) Final Consumo FF INV" sheetId="57" r:id="rId52"/>
    <sheet name="4) Final Consumo FF PURO" sheetId="64" r:id="rId53"/>
    <sheet name="4) Final Consumo pto3" sheetId="65" r:id="rId54"/>
    <sheet name="CT consumo masivo termin chr" sheetId="58" r:id="rId55"/>
    <sheet name="5) 1erPTerm2C2022 LEERNOTA" sheetId="60" r:id="rId56"/>
    <sheet name="CT TERMOS" sheetId="66" r:id="rId57"/>
    <sheet name="5) 1erP Termos 2C 2022 pto2" sheetId="68" r:id="rId58"/>
    <sheet name="CT TERMOS 60" sheetId="69" r:id="rId59"/>
    <sheet name="6) 3er feb 2022 pizzas" sheetId="75" r:id="rId60"/>
    <sheet name="CT pizzas" sheetId="76" r:id="rId61"/>
    <sheet name="7) Recu 1erC 2023“ChancaL&quot; MaqV" sheetId="71" r:id="rId62"/>
    <sheet name="7) Recu 1erC 2023“ChancaL&quot; MaqN" sheetId="81" r:id="rId63"/>
    <sheet name="7) CT " sheetId="78" r:id="rId64"/>
    <sheet name="Demanda(ok) Expl de otra Forma" sheetId="80" r:id="rId65"/>
    <sheet name="7) Prestamo AMERICANO OK" sheetId="77" r:id="rId66"/>
    <sheet name="7) Prestamo maqina nueva año0" sheetId="82" r:id="rId67"/>
    <sheet name="7) Prestamo otra forma" sheetId="79" r:id="rId68"/>
    <sheet name="8) Rec2dC2022 Solo_3_ptosCVUOKA" sheetId="72" r:id="rId69"/>
    <sheet name="8) Rec2dC2022 Solo_3_ptosCVUPUR" sheetId="88" r:id="rId70"/>
    <sheet name="8) Prestamo" sheetId="85" r:id="rId71"/>
    <sheet name="8) Demanda ok" sheetId="86" r:id="rId72"/>
    <sheet name="8) CT con verificacion ok" sheetId="87" r:id="rId73"/>
    <sheet name="8) PTO2 y 3" sheetId="90" r:id="rId74"/>
    <sheet name="9) 3er final dic 2022 Elect" sheetId="91" r:id="rId75"/>
    <sheet name="9) 1 MAQ SOLA Y 70%" sheetId="96" r:id="rId76"/>
    <sheet name="9) CT 1MAQ Y 70%" sheetId="97" r:id="rId77"/>
    <sheet name="9) Prestamo 70%" sheetId="99" r:id="rId78"/>
    <sheet name="9) Prestamo" sheetId="95" r:id="rId79"/>
    <sheet name="10)1erP_2022Jennifer_NoEstaHech" sheetId="100" r:id="rId80"/>
    <sheet name="11) enunciado 290723" sheetId="112" r:id="rId81"/>
    <sheet name="11) FF PRESTAMO1" sheetId="102" r:id="rId82"/>
    <sheet name="Prestamo mal" sheetId="103" r:id="rId83"/>
    <sheet name="PRESTAMO CORRECTO" sheetId="115" r:id="rId84"/>
    <sheet name="CT" sheetId="104" r:id="rId85"/>
    <sheet name="Tasa" sheetId="105" r:id="rId86"/>
    <sheet name="VF - VP" sheetId="106" r:id="rId87"/>
    <sheet name="FF PRESTAMO2" sheetId="107" r:id="rId88"/>
    <sheet name="RESPUESTAS" sheetId="108" r:id="rId89"/>
    <sheet name="FF1 TASA CAMBIADA" sheetId="110" r:id="rId90"/>
    <sheet name="FF2 TASA CAMBIADA" sheetId="111" r:id="rId91"/>
    <sheet name="11) FF PRESTAMO1 PRECIO EQUILIB" sheetId="114" r:id="rId92"/>
  </sheets>
  <externalReferences>
    <externalReference r:id="rId93"/>
    <externalReference r:id="rId9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2" i="49" l="1"/>
  <c r="H222" i="91" l="1"/>
  <c r="E216" i="91"/>
  <c r="E223" i="91" s="1"/>
  <c r="L68" i="60"/>
  <c r="M68" i="60"/>
  <c r="N68" i="60"/>
  <c r="K68" i="60"/>
  <c r="G116" i="65"/>
  <c r="F113" i="65"/>
  <c r="I84" i="65"/>
  <c r="I87" i="65"/>
  <c r="G113" i="65"/>
  <c r="G116" i="64"/>
  <c r="I84" i="64"/>
  <c r="G113" i="64"/>
  <c r="I87" i="64"/>
  <c r="I87" i="57"/>
  <c r="I113" i="57" s="1"/>
  <c r="H116" i="57"/>
  <c r="I116" i="57"/>
  <c r="G116" i="57"/>
  <c r="G113" i="57"/>
  <c r="G86" i="57"/>
  <c r="E17" i="58"/>
  <c r="E16" i="58"/>
  <c r="O59" i="52"/>
  <c r="P50" i="52"/>
  <c r="P51" i="52" s="1"/>
  <c r="O50" i="52"/>
  <c r="O51" i="52" s="1"/>
  <c r="N50" i="52"/>
  <c r="N51" i="52" s="1"/>
  <c r="M50" i="52"/>
  <c r="M51" i="52" s="1"/>
  <c r="M52" i="52" s="1"/>
  <c r="N52" i="52" s="1"/>
  <c r="L59" i="52" l="1"/>
  <c r="O52" i="52"/>
  <c r="P52" i="52" s="1"/>
  <c r="G49" i="78"/>
  <c r="H49" i="78"/>
  <c r="I49" i="78"/>
  <c r="J49" i="78"/>
  <c r="K49" i="78"/>
  <c r="L49" i="78"/>
  <c r="M49" i="78"/>
  <c r="N49" i="78"/>
  <c r="O49" i="78"/>
  <c r="P49" i="78"/>
  <c r="Q49" i="78"/>
  <c r="R49" i="78"/>
  <c r="S49" i="78"/>
  <c r="T49" i="78"/>
  <c r="U49" i="78"/>
  <c r="V49" i="78"/>
  <c r="W49" i="78"/>
  <c r="X49" i="78"/>
  <c r="Y49" i="78"/>
  <c r="Z49" i="78"/>
  <c r="AA49" i="78"/>
  <c r="AB49" i="78"/>
  <c r="R26" i="80"/>
  <c r="Q26" i="80"/>
  <c r="F49" i="78" l="1"/>
  <c r="F82" i="63" l="1"/>
  <c r="G82" i="63"/>
  <c r="H82" i="63"/>
  <c r="I82" i="63"/>
  <c r="E82" i="63"/>
  <c r="F103" i="63"/>
  <c r="F103" i="51"/>
  <c r="I84" i="57"/>
  <c r="I169" i="49" l="1"/>
  <c r="I59" i="115" l="1"/>
  <c r="I56" i="115"/>
  <c r="B29" i="115"/>
  <c r="B27" i="115"/>
  <c r="C27" i="115"/>
  <c r="B3" i="115"/>
  <c r="B4" i="115" s="1"/>
  <c r="C4" i="115" s="1"/>
  <c r="C54" i="105" l="1"/>
  <c r="C65" i="105" s="1"/>
  <c r="C3" i="114"/>
  <c r="L9" i="114"/>
  <c r="M9" i="114" s="1"/>
  <c r="N9" i="114" s="1"/>
  <c r="O9" i="114" s="1"/>
  <c r="C81" i="114"/>
  <c r="B60" i="114"/>
  <c r="E55" i="114"/>
  <c r="G46" i="114" s="1"/>
  <c r="D55" i="114"/>
  <c r="C55" i="114"/>
  <c r="B55" i="114"/>
  <c r="E54" i="114"/>
  <c r="G35" i="114" s="1"/>
  <c r="B51" i="114"/>
  <c r="B50" i="114"/>
  <c r="B62" i="114" s="1"/>
  <c r="G34" i="114"/>
  <c r="F34" i="114"/>
  <c r="G36" i="114" s="1"/>
  <c r="G33" i="114"/>
  <c r="F33" i="114"/>
  <c r="E33" i="114"/>
  <c r="D33" i="114"/>
  <c r="C33" i="114"/>
  <c r="G32" i="114"/>
  <c r="F32" i="114"/>
  <c r="E32" i="114"/>
  <c r="E60" i="114" s="1"/>
  <c r="D32" i="114"/>
  <c r="C32" i="114"/>
  <c r="G31" i="114"/>
  <c r="F31" i="114"/>
  <c r="E31" i="114"/>
  <c r="D31" i="114"/>
  <c r="C31" i="114"/>
  <c r="G30" i="114"/>
  <c r="F30" i="114"/>
  <c r="E30" i="114"/>
  <c r="D30" i="114"/>
  <c r="D60" i="114" s="1"/>
  <c r="C30" i="114"/>
  <c r="C60" i="114" s="1"/>
  <c r="G18" i="114"/>
  <c r="F18" i="114"/>
  <c r="E18" i="114"/>
  <c r="D18" i="114"/>
  <c r="C18" i="114"/>
  <c r="G17" i="114"/>
  <c r="F17" i="114"/>
  <c r="E17" i="114"/>
  <c r="D17" i="114"/>
  <c r="C17" i="114"/>
  <c r="C16" i="114"/>
  <c r="G15" i="114"/>
  <c r="F15" i="114"/>
  <c r="E15" i="114"/>
  <c r="D15" i="114"/>
  <c r="C15" i="114"/>
  <c r="G11" i="114"/>
  <c r="G10" i="114"/>
  <c r="G9" i="114"/>
  <c r="G8" i="114"/>
  <c r="G7" i="114"/>
  <c r="M4" i="114"/>
  <c r="F2" i="114" s="1"/>
  <c r="E2" i="114"/>
  <c r="E16" i="114" s="1"/>
  <c r="D2" i="114"/>
  <c r="D16" i="114" s="1"/>
  <c r="C2" i="114"/>
  <c r="G35" i="107"/>
  <c r="F35" i="107"/>
  <c r="G37" i="107" s="1"/>
  <c r="G34" i="107"/>
  <c r="F34" i="107"/>
  <c r="G36" i="107" s="1"/>
  <c r="G33" i="107"/>
  <c r="F33" i="107"/>
  <c r="E33" i="107"/>
  <c r="D33" i="107"/>
  <c r="C33" i="107"/>
  <c r="G32" i="107"/>
  <c r="F32" i="107"/>
  <c r="E32" i="107"/>
  <c r="D32" i="107"/>
  <c r="C32" i="107"/>
  <c r="C60" i="107" s="1"/>
  <c r="G31" i="107"/>
  <c r="F31" i="107"/>
  <c r="E31" i="107"/>
  <c r="D31" i="107"/>
  <c r="D60" i="107" s="1"/>
  <c r="C31" i="107"/>
  <c r="G30" i="107"/>
  <c r="F30" i="107"/>
  <c r="F60" i="107" s="1"/>
  <c r="E30" i="107"/>
  <c r="E60" i="107" s="1"/>
  <c r="D30" i="107"/>
  <c r="C30" i="107"/>
  <c r="G46" i="102"/>
  <c r="G36" i="102"/>
  <c r="G37" i="102"/>
  <c r="E55" i="107"/>
  <c r="D55" i="107"/>
  <c r="C55" i="107"/>
  <c r="B55" i="107"/>
  <c r="G46" i="107" s="1"/>
  <c r="E55" i="102"/>
  <c r="D55" i="102"/>
  <c r="C55" i="102"/>
  <c r="B55" i="102"/>
  <c r="J68" i="104"/>
  <c r="F58" i="104"/>
  <c r="G12" i="104"/>
  <c r="H13" i="104"/>
  <c r="C81" i="111"/>
  <c r="F72" i="111"/>
  <c r="F73" i="111" s="1"/>
  <c r="F74" i="111" s="1"/>
  <c r="F75" i="111" s="1"/>
  <c r="D72" i="111"/>
  <c r="B72" i="111"/>
  <c r="B74" i="111" s="1"/>
  <c r="B75" i="111" s="1"/>
  <c r="F60" i="111"/>
  <c r="E60" i="111"/>
  <c r="B60" i="111"/>
  <c r="E54" i="111"/>
  <c r="G37" i="111" s="1"/>
  <c r="B51" i="111"/>
  <c r="B50" i="111"/>
  <c r="B62" i="111" s="1"/>
  <c r="G46" i="111"/>
  <c r="F37" i="111"/>
  <c r="G36" i="111"/>
  <c r="F36" i="111"/>
  <c r="F35" i="111"/>
  <c r="G34" i="111"/>
  <c r="F34" i="111"/>
  <c r="G33" i="111"/>
  <c r="F33" i="111"/>
  <c r="E33" i="111"/>
  <c r="D33" i="111"/>
  <c r="C33" i="111"/>
  <c r="G32" i="111"/>
  <c r="F32" i="111"/>
  <c r="E32" i="111"/>
  <c r="D32" i="111"/>
  <c r="C32" i="111"/>
  <c r="G31" i="111"/>
  <c r="F31" i="111"/>
  <c r="E31" i="111"/>
  <c r="D31" i="111"/>
  <c r="C31" i="111"/>
  <c r="G30" i="111"/>
  <c r="F30" i="111"/>
  <c r="E30" i="111"/>
  <c r="D30" i="111"/>
  <c r="D60" i="111" s="1"/>
  <c r="C30" i="111"/>
  <c r="C60" i="111" s="1"/>
  <c r="G18" i="111"/>
  <c r="F18" i="111"/>
  <c r="E18" i="111"/>
  <c r="D18" i="111"/>
  <c r="C18" i="111"/>
  <c r="G17" i="111"/>
  <c r="F17" i="111"/>
  <c r="E17" i="111"/>
  <c r="D17" i="111"/>
  <c r="C17" i="111"/>
  <c r="E16" i="111"/>
  <c r="D16" i="111"/>
  <c r="G15" i="111"/>
  <c r="F15" i="111"/>
  <c r="E15" i="111"/>
  <c r="D15" i="111"/>
  <c r="C15" i="111"/>
  <c r="G12" i="111"/>
  <c r="G11" i="111"/>
  <c r="G10" i="111"/>
  <c r="M9" i="111"/>
  <c r="N9" i="111" s="1"/>
  <c r="O9" i="111" s="1"/>
  <c r="G3" i="111" s="1"/>
  <c r="G6" i="111" s="1"/>
  <c r="L9" i="111"/>
  <c r="G9" i="111"/>
  <c r="G8" i="111"/>
  <c r="G7" i="111"/>
  <c r="E6" i="111"/>
  <c r="E38" i="111" s="1"/>
  <c r="M4" i="111"/>
  <c r="F2" i="111" s="1"/>
  <c r="F16" i="111" s="1"/>
  <c r="F3" i="111"/>
  <c r="F6" i="111" s="1"/>
  <c r="F38" i="111" s="1"/>
  <c r="G2" i="111"/>
  <c r="G16" i="111" s="1"/>
  <c r="E2" i="111"/>
  <c r="E3" i="111" s="1"/>
  <c r="D2" i="111"/>
  <c r="D3" i="111" s="1"/>
  <c r="D6" i="111" s="1"/>
  <c r="C2" i="111"/>
  <c r="C16" i="111" s="1"/>
  <c r="C81" i="110"/>
  <c r="B60" i="110"/>
  <c r="E54" i="110"/>
  <c r="B51" i="110"/>
  <c r="B50" i="110"/>
  <c r="G46" i="110"/>
  <c r="G37" i="110"/>
  <c r="F37" i="110"/>
  <c r="G36" i="110"/>
  <c r="F36" i="110"/>
  <c r="G35" i="110"/>
  <c r="F35" i="110"/>
  <c r="G34" i="110"/>
  <c r="F34" i="110"/>
  <c r="G33" i="110"/>
  <c r="F33" i="110"/>
  <c r="E33" i="110"/>
  <c r="D33" i="110"/>
  <c r="C33" i="110"/>
  <c r="G32" i="110"/>
  <c r="F32" i="110"/>
  <c r="E32" i="110"/>
  <c r="D32" i="110"/>
  <c r="C32" i="110"/>
  <c r="G31" i="110"/>
  <c r="F31" i="110"/>
  <c r="E31" i="110"/>
  <c r="E60" i="110" s="1"/>
  <c r="D31" i="110"/>
  <c r="C31" i="110"/>
  <c r="G30" i="110"/>
  <c r="F30" i="110"/>
  <c r="F60" i="110" s="1"/>
  <c r="E30" i="110"/>
  <c r="D30" i="110"/>
  <c r="C30" i="110"/>
  <c r="G18" i="110"/>
  <c r="F18" i="110"/>
  <c r="E18" i="110"/>
  <c r="D18" i="110"/>
  <c r="C18" i="110"/>
  <c r="G17" i="110"/>
  <c r="F17" i="110"/>
  <c r="E17" i="110"/>
  <c r="D17" i="110"/>
  <c r="C17" i="110"/>
  <c r="E16" i="110"/>
  <c r="G15" i="110"/>
  <c r="F15" i="110"/>
  <c r="E15" i="110"/>
  <c r="D15" i="110"/>
  <c r="C15" i="110"/>
  <c r="G12" i="110"/>
  <c r="G11" i="110"/>
  <c r="G10" i="110"/>
  <c r="N9" i="110"/>
  <c r="M9" i="110"/>
  <c r="L9" i="110"/>
  <c r="G9" i="110"/>
  <c r="G8" i="110"/>
  <c r="G7" i="110"/>
  <c r="M4" i="110"/>
  <c r="G2" i="110"/>
  <c r="F2" i="110"/>
  <c r="F16" i="110" s="1"/>
  <c r="E2" i="110"/>
  <c r="E3" i="110" s="1"/>
  <c r="E6" i="110" s="1"/>
  <c r="E38" i="110" s="1"/>
  <c r="D2" i="110"/>
  <c r="D3" i="110" s="1"/>
  <c r="D6" i="110" s="1"/>
  <c r="C2" i="110"/>
  <c r="C16" i="110" s="1"/>
  <c r="C81" i="107"/>
  <c r="F72" i="107"/>
  <c r="F73" i="107" s="1"/>
  <c r="F74" i="107" s="1"/>
  <c r="F75" i="107" s="1"/>
  <c r="D72" i="107"/>
  <c r="B72" i="107"/>
  <c r="B74" i="107" s="1"/>
  <c r="B75" i="107" s="1"/>
  <c r="B60" i="107"/>
  <c r="E54" i="107"/>
  <c r="B51" i="107"/>
  <c r="B50" i="107"/>
  <c r="F38" i="107"/>
  <c r="G18" i="107"/>
  <c r="F18" i="107"/>
  <c r="E18" i="107"/>
  <c r="D18" i="107"/>
  <c r="C18" i="107"/>
  <c r="G17" i="107"/>
  <c r="F17" i="107"/>
  <c r="E17" i="107"/>
  <c r="D17" i="107"/>
  <c r="C17" i="107"/>
  <c r="E16" i="107"/>
  <c r="G15" i="107"/>
  <c r="F15" i="107"/>
  <c r="E15" i="107"/>
  <c r="D15" i="107"/>
  <c r="C15" i="107"/>
  <c r="G12" i="107"/>
  <c r="G11" i="107"/>
  <c r="G10" i="107"/>
  <c r="M9" i="107"/>
  <c r="N9" i="107" s="1"/>
  <c r="O9" i="107" s="1"/>
  <c r="G3" i="107" s="1"/>
  <c r="G6" i="107" s="1"/>
  <c r="L9" i="107"/>
  <c r="G9" i="107"/>
  <c r="G8" i="107"/>
  <c r="G7" i="107"/>
  <c r="E6" i="107"/>
  <c r="M4" i="107"/>
  <c r="F3" i="107"/>
  <c r="F6" i="107" s="1"/>
  <c r="C3" i="107"/>
  <c r="C6" i="107" s="1"/>
  <c r="G2" i="107"/>
  <c r="G16" i="107" s="1"/>
  <c r="F2" i="107"/>
  <c r="F16" i="107" s="1"/>
  <c r="E2" i="107"/>
  <c r="E3" i="107" s="1"/>
  <c r="D2" i="107"/>
  <c r="C2" i="107"/>
  <c r="C16" i="107" s="1"/>
  <c r="B33" i="106"/>
  <c r="H22" i="106"/>
  <c r="B22" i="106"/>
  <c r="F12" i="106"/>
  <c r="B12" i="106"/>
  <c r="U27" i="105"/>
  <c r="U22" i="105"/>
  <c r="L16" i="105"/>
  <c r="C16" i="105"/>
  <c r="L14" i="105"/>
  <c r="C10" i="105"/>
  <c r="N8" i="105"/>
  <c r="O12" i="105" s="1"/>
  <c r="L8" i="105"/>
  <c r="L7" i="105"/>
  <c r="L10" i="105" s="1"/>
  <c r="L6" i="105"/>
  <c r="L9" i="105" s="1"/>
  <c r="C5" i="105"/>
  <c r="D106" i="104"/>
  <c r="D105" i="104"/>
  <c r="J93" i="104"/>
  <c r="H93" i="104"/>
  <c r="G93" i="104"/>
  <c r="J92" i="104"/>
  <c r="H92" i="104"/>
  <c r="G92" i="104"/>
  <c r="H91" i="104"/>
  <c r="J91" i="104" s="1"/>
  <c r="G91" i="104"/>
  <c r="G90" i="104"/>
  <c r="H90" i="104" s="1"/>
  <c r="J90" i="104" s="1"/>
  <c r="M89" i="104"/>
  <c r="H89" i="104"/>
  <c r="J89" i="104" s="1"/>
  <c r="K89" i="104" s="1"/>
  <c r="G89" i="104"/>
  <c r="F84" i="104"/>
  <c r="F83" i="104"/>
  <c r="F82" i="104"/>
  <c r="H73" i="104"/>
  <c r="H72" i="104"/>
  <c r="H71" i="104"/>
  <c r="D71" i="104"/>
  <c r="H70" i="104"/>
  <c r="I69" i="104"/>
  <c r="BK47" i="104"/>
  <c r="BC47" i="104"/>
  <c r="AZ47" i="104"/>
  <c r="AR47" i="104"/>
  <c r="AQ47" i="104"/>
  <c r="AI47" i="104"/>
  <c r="AE47" i="104"/>
  <c r="W47" i="104"/>
  <c r="T47" i="104"/>
  <c r="L47" i="104"/>
  <c r="K47" i="104"/>
  <c r="C47" i="104"/>
  <c r="BL45" i="104"/>
  <c r="BK45" i="104"/>
  <c r="BJ45" i="104"/>
  <c r="BI45" i="104"/>
  <c r="BH45" i="104"/>
  <c r="BG45" i="104"/>
  <c r="BF45" i="104"/>
  <c r="BE45" i="104"/>
  <c r="BD45" i="104"/>
  <c r="BC45" i="104"/>
  <c r="BB45" i="104"/>
  <c r="BA45" i="104"/>
  <c r="AZ45" i="104"/>
  <c r="AY45" i="104"/>
  <c r="AX45" i="104"/>
  <c r="AW45" i="104"/>
  <c r="AV45" i="104"/>
  <c r="AU45" i="104"/>
  <c r="AT45" i="104"/>
  <c r="AS45" i="104"/>
  <c r="AR45" i="104"/>
  <c r="AQ45" i="104"/>
  <c r="AP45" i="104"/>
  <c r="AO45" i="104"/>
  <c r="AN45" i="104"/>
  <c r="AM45" i="104"/>
  <c r="AL45" i="104"/>
  <c r="AK45" i="104"/>
  <c r="AJ45" i="104"/>
  <c r="AI45" i="104"/>
  <c r="AH45" i="104"/>
  <c r="AG45" i="104"/>
  <c r="AF45" i="104"/>
  <c r="AE45" i="104"/>
  <c r="AD45" i="104"/>
  <c r="AC45" i="104"/>
  <c r="AB45" i="104"/>
  <c r="AA45" i="104"/>
  <c r="Z45" i="104"/>
  <c r="Y45" i="104"/>
  <c r="X45" i="104"/>
  <c r="W45" i="104"/>
  <c r="V45" i="104"/>
  <c r="U45" i="104"/>
  <c r="T45" i="104"/>
  <c r="S45" i="104"/>
  <c r="R45" i="104"/>
  <c r="Q45" i="104"/>
  <c r="P45" i="104"/>
  <c r="O45" i="104"/>
  <c r="N45" i="104"/>
  <c r="M45" i="104"/>
  <c r="L45" i="104"/>
  <c r="K45" i="104"/>
  <c r="J45" i="104"/>
  <c r="I45" i="104"/>
  <c r="H45" i="104"/>
  <c r="G45" i="104"/>
  <c r="F45" i="104"/>
  <c r="E45" i="104"/>
  <c r="BL44" i="104"/>
  <c r="BK44" i="104"/>
  <c r="BJ44" i="104"/>
  <c r="BI44" i="104"/>
  <c r="BH44" i="104"/>
  <c r="BG44" i="104"/>
  <c r="BF44" i="104"/>
  <c r="BE44" i="104"/>
  <c r="BD44" i="104"/>
  <c r="BC44" i="104"/>
  <c r="BB44" i="104"/>
  <c r="BA44" i="104"/>
  <c r="AZ44" i="104"/>
  <c r="AY44" i="104"/>
  <c r="AX44" i="104"/>
  <c r="AW44" i="104"/>
  <c r="AV44" i="104"/>
  <c r="AU44" i="104"/>
  <c r="AT44" i="104"/>
  <c r="AS44" i="104"/>
  <c r="AR44" i="104"/>
  <c r="AQ44" i="104"/>
  <c r="AP44" i="104"/>
  <c r="AO44" i="104"/>
  <c r="AN44" i="104"/>
  <c r="AM44" i="104"/>
  <c r="AL44" i="104"/>
  <c r="AK44" i="104"/>
  <c r="AJ44" i="104"/>
  <c r="AI44" i="104"/>
  <c r="AH44" i="104"/>
  <c r="AG44" i="104"/>
  <c r="AF44" i="104"/>
  <c r="AE44" i="104"/>
  <c r="AD44" i="104"/>
  <c r="AC44" i="104"/>
  <c r="AB44" i="104"/>
  <c r="AA44" i="104"/>
  <c r="Z44" i="104"/>
  <c r="Y44" i="104"/>
  <c r="X44" i="104"/>
  <c r="W44" i="104"/>
  <c r="V44" i="104"/>
  <c r="U44" i="104"/>
  <c r="T44" i="104"/>
  <c r="S44" i="104"/>
  <c r="R44" i="104"/>
  <c r="Q44" i="104"/>
  <c r="P44" i="104"/>
  <c r="O44" i="104"/>
  <c r="N44" i="104"/>
  <c r="M44" i="104"/>
  <c r="L44" i="104"/>
  <c r="K44" i="104"/>
  <c r="J44" i="104"/>
  <c r="I44" i="104"/>
  <c r="H44" i="104"/>
  <c r="G44" i="104"/>
  <c r="F44" i="104"/>
  <c r="E44" i="104"/>
  <c r="BL43" i="104"/>
  <c r="BK43" i="104"/>
  <c r="BJ43" i="104"/>
  <c r="BI43" i="104"/>
  <c r="BH43" i="104"/>
  <c r="BG43" i="104"/>
  <c r="BF43" i="104"/>
  <c r="BE43" i="104"/>
  <c r="BD43" i="104"/>
  <c r="BC43" i="104"/>
  <c r="BB43" i="104"/>
  <c r="BA43" i="104"/>
  <c r="AZ43" i="104"/>
  <c r="AY43" i="104"/>
  <c r="AX43" i="104"/>
  <c r="AW43" i="104"/>
  <c r="AV43" i="104"/>
  <c r="AU43" i="104"/>
  <c r="AT43" i="104"/>
  <c r="AS43" i="104"/>
  <c r="AR43" i="104"/>
  <c r="AQ43" i="104"/>
  <c r="AP43" i="104"/>
  <c r="AO43" i="104"/>
  <c r="AN43" i="104"/>
  <c r="AM43" i="104"/>
  <c r="AL43" i="104"/>
  <c r="AK43" i="104"/>
  <c r="AJ43" i="104"/>
  <c r="AI43" i="104"/>
  <c r="AH43" i="104"/>
  <c r="AG43" i="104"/>
  <c r="AF43" i="104"/>
  <c r="AE43" i="104"/>
  <c r="AD43" i="104"/>
  <c r="AC43" i="104"/>
  <c r="AB43" i="104"/>
  <c r="AA43" i="104"/>
  <c r="Z43" i="104"/>
  <c r="Y43" i="104"/>
  <c r="X43" i="104"/>
  <c r="W43" i="104"/>
  <c r="V43" i="104"/>
  <c r="U43" i="104"/>
  <c r="T43" i="104"/>
  <c r="S43" i="104"/>
  <c r="R43" i="104"/>
  <c r="Q43" i="104"/>
  <c r="P43" i="104"/>
  <c r="O43" i="104"/>
  <c r="N43" i="104"/>
  <c r="M43" i="104"/>
  <c r="L43" i="104"/>
  <c r="K43" i="104"/>
  <c r="J43" i="104"/>
  <c r="I43" i="104"/>
  <c r="H43" i="104"/>
  <c r="G43" i="104"/>
  <c r="F43" i="104"/>
  <c r="E43" i="104"/>
  <c r="BL42" i="104"/>
  <c r="BH42" i="104"/>
  <c r="BD42" i="104"/>
  <c r="AZ42" i="104"/>
  <c r="AW42" i="104"/>
  <c r="AR42" i="104"/>
  <c r="AO42" i="104"/>
  <c r="AN42" i="104"/>
  <c r="AG42" i="104"/>
  <c r="AF42" i="104"/>
  <c r="AB42" i="104"/>
  <c r="X42" i="104"/>
  <c r="T42" i="104"/>
  <c r="Q42" i="104"/>
  <c r="L42" i="104"/>
  <c r="I42" i="104"/>
  <c r="H42" i="104"/>
  <c r="C42" i="104"/>
  <c r="BJ41" i="104"/>
  <c r="BI41" i="104"/>
  <c r="BE41" i="104"/>
  <c r="BB41" i="104"/>
  <c r="BA41" i="104"/>
  <c r="AW41" i="104"/>
  <c r="AT41" i="104"/>
  <c r="AS41" i="104"/>
  <c r="AO41" i="104"/>
  <c r="AL41" i="104"/>
  <c r="AK41" i="104"/>
  <c r="AG41" i="104"/>
  <c r="AD41" i="104"/>
  <c r="AC41" i="104"/>
  <c r="Y41" i="104"/>
  <c r="V41" i="104"/>
  <c r="U41" i="104"/>
  <c r="R41" i="104"/>
  <c r="Q41" i="104"/>
  <c r="P41" i="104"/>
  <c r="M41" i="104"/>
  <c r="L41" i="104"/>
  <c r="J41" i="104"/>
  <c r="H41" i="104"/>
  <c r="F41" i="104"/>
  <c r="E41" i="104"/>
  <c r="C41" i="104"/>
  <c r="BJ37" i="104"/>
  <c r="BG37" i="104"/>
  <c r="BF37" i="104"/>
  <c r="BC37" i="104"/>
  <c r="BB37" i="104"/>
  <c r="AY37" i="104"/>
  <c r="AX37" i="104"/>
  <c r="AT37" i="104"/>
  <c r="AQ37" i="104"/>
  <c r="AP37" i="104"/>
  <c r="AM37" i="104"/>
  <c r="AL37" i="104"/>
  <c r="AI37" i="104"/>
  <c r="AH37" i="104"/>
  <c r="AD37" i="104"/>
  <c r="AA37" i="104"/>
  <c r="Z37" i="104"/>
  <c r="W37" i="104"/>
  <c r="V37" i="104"/>
  <c r="S37" i="104"/>
  <c r="R37" i="104"/>
  <c r="N37" i="104"/>
  <c r="K37" i="104"/>
  <c r="J37" i="104"/>
  <c r="BL36" i="104"/>
  <c r="BK36" i="104"/>
  <c r="BJ36" i="104"/>
  <c r="BG36" i="104"/>
  <c r="BF36" i="104"/>
  <c r="BC36" i="104"/>
  <c r="BB36" i="104"/>
  <c r="AX36" i="104"/>
  <c r="AV36" i="104"/>
  <c r="AU36" i="104"/>
  <c r="AT36" i="104"/>
  <c r="AQ36" i="104"/>
  <c r="AP36" i="104"/>
  <c r="AM36" i="104"/>
  <c r="AL36" i="104"/>
  <c r="AJ36" i="104"/>
  <c r="AH36" i="104"/>
  <c r="AF36" i="104"/>
  <c r="AE36" i="104"/>
  <c r="AD36" i="104"/>
  <c r="AA36" i="104"/>
  <c r="Z36" i="104"/>
  <c r="W36" i="104"/>
  <c r="V36" i="104"/>
  <c r="T36" i="104"/>
  <c r="R36" i="104"/>
  <c r="O36" i="104"/>
  <c r="N36" i="104"/>
  <c r="K36" i="104"/>
  <c r="J36" i="104"/>
  <c r="G36" i="104"/>
  <c r="BL35" i="104"/>
  <c r="BJ35" i="104"/>
  <c r="BF35" i="104"/>
  <c r="BB35" i="104"/>
  <c r="AX35" i="104"/>
  <c r="AV35" i="104"/>
  <c r="AT35" i="104"/>
  <c r="AP35" i="104"/>
  <c r="AL35" i="104"/>
  <c r="AH35" i="104"/>
  <c r="AF35" i="104"/>
  <c r="AD35" i="104"/>
  <c r="Z35" i="104"/>
  <c r="V35" i="104"/>
  <c r="R35" i="104"/>
  <c r="P35" i="104"/>
  <c r="N35" i="104"/>
  <c r="J35" i="104"/>
  <c r="F35" i="104"/>
  <c r="BL34" i="104"/>
  <c r="BK34" i="104"/>
  <c r="BG34" i="104"/>
  <c r="BC34" i="104"/>
  <c r="AZ34" i="104"/>
  <c r="AV34" i="104"/>
  <c r="AU34" i="104"/>
  <c r="AQ34" i="104"/>
  <c r="AM34" i="104"/>
  <c r="AF34" i="104"/>
  <c r="AE34" i="104"/>
  <c r="AA34" i="104"/>
  <c r="W34" i="104"/>
  <c r="T34" i="104"/>
  <c r="O34" i="104"/>
  <c r="K34" i="104"/>
  <c r="G34" i="104"/>
  <c r="BH31" i="104"/>
  <c r="BG31" i="104"/>
  <c r="BC31" i="104"/>
  <c r="BA31" i="104"/>
  <c r="AW31" i="104"/>
  <c r="AQ31" i="104"/>
  <c r="AM31" i="104"/>
  <c r="AB31" i="104"/>
  <c r="AA31" i="104"/>
  <c r="W31" i="104"/>
  <c r="U31" i="104"/>
  <c r="Q31" i="104"/>
  <c r="K31" i="104"/>
  <c r="G31" i="104"/>
  <c r="BK30" i="104"/>
  <c r="BH30" i="104"/>
  <c r="BC30" i="104"/>
  <c r="AY30" i="104"/>
  <c r="AU30" i="104"/>
  <c r="AR30" i="104"/>
  <c r="AN30" i="104"/>
  <c r="AM30" i="104"/>
  <c r="AI30" i="104"/>
  <c r="AE30" i="104"/>
  <c r="AB30" i="104"/>
  <c r="X30" i="104"/>
  <c r="W30" i="104"/>
  <c r="S30" i="104"/>
  <c r="O30" i="104"/>
  <c r="H30" i="104"/>
  <c r="G30" i="104"/>
  <c r="BK29" i="104"/>
  <c r="BG29" i="104"/>
  <c r="BD29" i="104"/>
  <c r="AY29" i="104"/>
  <c r="AU29" i="104"/>
  <c r="AQ29" i="104"/>
  <c r="AN29" i="104"/>
  <c r="AJ29" i="104"/>
  <c r="AI29" i="104"/>
  <c r="AE29" i="104"/>
  <c r="AA29" i="104"/>
  <c r="X29" i="104"/>
  <c r="T29" i="104"/>
  <c r="S29" i="104"/>
  <c r="O29" i="104"/>
  <c r="K29" i="104"/>
  <c r="BL28" i="104"/>
  <c r="BK28" i="104"/>
  <c r="BG28" i="104"/>
  <c r="BC28" i="104"/>
  <c r="AZ28" i="104"/>
  <c r="AU28" i="104"/>
  <c r="AQ28" i="104"/>
  <c r="AM28" i="104"/>
  <c r="AJ28" i="104"/>
  <c r="AF28" i="104"/>
  <c r="AE28" i="104"/>
  <c r="AA28" i="104"/>
  <c r="W28" i="104"/>
  <c r="T28" i="104"/>
  <c r="P28" i="104"/>
  <c r="O28" i="104"/>
  <c r="K28" i="104"/>
  <c r="G28" i="104"/>
  <c r="BL25" i="104"/>
  <c r="BK25" i="104"/>
  <c r="BK35" i="104" s="1"/>
  <c r="BJ25" i="104"/>
  <c r="BJ34" i="104" s="1"/>
  <c r="BI25" i="104"/>
  <c r="BH25" i="104"/>
  <c r="BG25" i="104"/>
  <c r="BG35" i="104" s="1"/>
  <c r="BF25" i="104"/>
  <c r="BF34" i="104" s="1"/>
  <c r="BE25" i="104"/>
  <c r="BE35" i="104" s="1"/>
  <c r="BD25" i="104"/>
  <c r="BC25" i="104"/>
  <c r="BC35" i="104" s="1"/>
  <c r="BB25" i="104"/>
  <c r="BB34" i="104" s="1"/>
  <c r="BA25" i="104"/>
  <c r="AZ25" i="104"/>
  <c r="AY25" i="104"/>
  <c r="AY35" i="104" s="1"/>
  <c r="AX25" i="104"/>
  <c r="AX34" i="104" s="1"/>
  <c r="AW25" i="104"/>
  <c r="AW37" i="104" s="1"/>
  <c r="AV25" i="104"/>
  <c r="AU25" i="104"/>
  <c r="AU35" i="104" s="1"/>
  <c r="AT25" i="104"/>
  <c r="AT34" i="104" s="1"/>
  <c r="AS25" i="104"/>
  <c r="AR25" i="104"/>
  <c r="AQ25" i="104"/>
  <c r="AQ35" i="104" s="1"/>
  <c r="AP25" i="104"/>
  <c r="AP34" i="104" s="1"/>
  <c r="AO25" i="104"/>
  <c r="AO35" i="104" s="1"/>
  <c r="AN25" i="104"/>
  <c r="AM25" i="104"/>
  <c r="AM35" i="104" s="1"/>
  <c r="AL25" i="104"/>
  <c r="AL34" i="104" s="1"/>
  <c r="AK25" i="104"/>
  <c r="AJ25" i="104"/>
  <c r="AI25" i="104"/>
  <c r="AI35" i="104" s="1"/>
  <c r="AH25" i="104"/>
  <c r="AH34" i="104" s="1"/>
  <c r="AG25" i="104"/>
  <c r="AF25" i="104"/>
  <c r="AE25" i="104"/>
  <c r="AE35" i="104" s="1"/>
  <c r="AD25" i="104"/>
  <c r="AD34" i="104" s="1"/>
  <c r="AC25" i="104"/>
  <c r="AB25" i="104"/>
  <c r="AA25" i="104"/>
  <c r="AA35" i="104" s="1"/>
  <c r="Z25" i="104"/>
  <c r="Z34" i="104" s="1"/>
  <c r="Y25" i="104"/>
  <c r="X25" i="104"/>
  <c r="W25" i="104"/>
  <c r="W35" i="104" s="1"/>
  <c r="V25" i="104"/>
  <c r="V34" i="104" s="1"/>
  <c r="U25" i="104"/>
  <c r="U35" i="104" s="1"/>
  <c r="T25" i="104"/>
  <c r="S25" i="104"/>
  <c r="S35" i="104" s="1"/>
  <c r="R25" i="104"/>
  <c r="R34" i="104" s="1"/>
  <c r="Q25" i="104"/>
  <c r="P25" i="104"/>
  <c r="O25" i="104"/>
  <c r="O35" i="104" s="1"/>
  <c r="N25" i="104"/>
  <c r="N34" i="104" s="1"/>
  <c r="M25" i="104"/>
  <c r="M29" i="104" s="1"/>
  <c r="L25" i="104"/>
  <c r="K25" i="104"/>
  <c r="K35" i="104" s="1"/>
  <c r="J25" i="104"/>
  <c r="J34" i="104" s="1"/>
  <c r="I25" i="104"/>
  <c r="H25" i="104"/>
  <c r="G25" i="104"/>
  <c r="G35" i="104" s="1"/>
  <c r="F25" i="104"/>
  <c r="F34" i="104" s="1"/>
  <c r="E25" i="104"/>
  <c r="E34" i="104" s="1"/>
  <c r="L24" i="104"/>
  <c r="N24" i="104" s="1"/>
  <c r="P24" i="104" s="1"/>
  <c r="R24" i="104" s="1"/>
  <c r="T24" i="104" s="1"/>
  <c r="V24" i="104" s="1"/>
  <c r="X24" i="104" s="1"/>
  <c r="Z24" i="104" s="1"/>
  <c r="AB24" i="104" s="1"/>
  <c r="AD24" i="104" s="1"/>
  <c r="AF24" i="104" s="1"/>
  <c r="AH24" i="104" s="1"/>
  <c r="AJ24" i="104" s="1"/>
  <c r="AL24" i="104" s="1"/>
  <c r="AN24" i="104" s="1"/>
  <c r="AP24" i="104" s="1"/>
  <c r="AR24" i="104" s="1"/>
  <c r="AT24" i="104" s="1"/>
  <c r="AV24" i="104" s="1"/>
  <c r="AX24" i="104" s="1"/>
  <c r="AZ24" i="104" s="1"/>
  <c r="BB24" i="104" s="1"/>
  <c r="BD24" i="104" s="1"/>
  <c r="BF24" i="104" s="1"/>
  <c r="BH24" i="104" s="1"/>
  <c r="BJ24" i="104" s="1"/>
  <c r="BL24" i="104" s="1"/>
  <c r="H24" i="104"/>
  <c r="J24" i="104" s="1"/>
  <c r="G24" i="104"/>
  <c r="I24" i="104" s="1"/>
  <c r="K24" i="104" s="1"/>
  <c r="M24" i="104" s="1"/>
  <c r="O24" i="104" s="1"/>
  <c r="Q24" i="104" s="1"/>
  <c r="S24" i="104" s="1"/>
  <c r="U24" i="104" s="1"/>
  <c r="W24" i="104" s="1"/>
  <c r="Y24" i="104" s="1"/>
  <c r="AA24" i="104" s="1"/>
  <c r="AC24" i="104" s="1"/>
  <c r="AE24" i="104" s="1"/>
  <c r="AG24" i="104" s="1"/>
  <c r="AI24" i="104" s="1"/>
  <c r="AK24" i="104" s="1"/>
  <c r="AM24" i="104" s="1"/>
  <c r="AO24" i="104" s="1"/>
  <c r="AQ24" i="104" s="1"/>
  <c r="AS24" i="104" s="1"/>
  <c r="AU24" i="104" s="1"/>
  <c r="AW24" i="104" s="1"/>
  <c r="AY24" i="104" s="1"/>
  <c r="BA24" i="104" s="1"/>
  <c r="BC24" i="104" s="1"/>
  <c r="BE24" i="104" s="1"/>
  <c r="BG24" i="104" s="1"/>
  <c r="BI24" i="104" s="1"/>
  <c r="BK24" i="104" s="1"/>
  <c r="F24" i="104"/>
  <c r="E24" i="104"/>
  <c r="C14" i="104"/>
  <c r="BJ13" i="104"/>
  <c r="BI13" i="104"/>
  <c r="BH13" i="104"/>
  <c r="BB13" i="104"/>
  <c r="AX13" i="104"/>
  <c r="AW13" i="104"/>
  <c r="AT13" i="104"/>
  <c r="AS13" i="104"/>
  <c r="AR13" i="104"/>
  <c r="AL13" i="104"/>
  <c r="AH13" i="104"/>
  <c r="AG13" i="104"/>
  <c r="AD13" i="104"/>
  <c r="AC13" i="104"/>
  <c r="AB13" i="104"/>
  <c r="V13" i="104"/>
  <c r="R13" i="104"/>
  <c r="Q13" i="104"/>
  <c r="M13" i="104"/>
  <c r="L13" i="104"/>
  <c r="BJ12" i="104"/>
  <c r="BF12" i="104"/>
  <c r="BE12" i="104"/>
  <c r="BB12" i="104"/>
  <c r="BA12" i="104"/>
  <c r="AZ12" i="104"/>
  <c r="AT12" i="104"/>
  <c r="AP12" i="104"/>
  <c r="AO12" i="104"/>
  <c r="AL12" i="104"/>
  <c r="AK12" i="104"/>
  <c r="AJ12" i="104"/>
  <c r="AD12" i="104"/>
  <c r="Z12" i="104"/>
  <c r="Y12" i="104"/>
  <c r="V12" i="104"/>
  <c r="U12" i="104"/>
  <c r="T12" i="104"/>
  <c r="N12" i="104"/>
  <c r="J12" i="104"/>
  <c r="I12" i="104"/>
  <c r="BK11" i="104"/>
  <c r="BJ11" i="104"/>
  <c r="BI11" i="104"/>
  <c r="BG11" i="104"/>
  <c r="BF11" i="104"/>
  <c r="BE11" i="104"/>
  <c r="BC11" i="104"/>
  <c r="AY11" i="104"/>
  <c r="AX11" i="104"/>
  <c r="AU11" i="104"/>
  <c r="AT11" i="104"/>
  <c r="AS11" i="104"/>
  <c r="AQ11" i="104"/>
  <c r="AP11" i="104"/>
  <c r="AO11" i="104"/>
  <c r="AM11" i="104"/>
  <c r="AI11" i="104"/>
  <c r="AH11" i="104"/>
  <c r="AE11" i="104"/>
  <c r="AD11" i="104"/>
  <c r="AC11" i="104"/>
  <c r="AA11" i="104"/>
  <c r="Z11" i="104"/>
  <c r="Y11" i="104"/>
  <c r="W11" i="104"/>
  <c r="S11" i="104"/>
  <c r="R11" i="104"/>
  <c r="O11" i="104"/>
  <c r="N11" i="104"/>
  <c r="M11" i="104"/>
  <c r="K11" i="104"/>
  <c r="J11" i="104"/>
  <c r="I11" i="104"/>
  <c r="G11" i="104"/>
  <c r="BJ10" i="104"/>
  <c r="BI10" i="104"/>
  <c r="BF10" i="104"/>
  <c r="BE10" i="104"/>
  <c r="BD10" i="104"/>
  <c r="AX10" i="104"/>
  <c r="AT10" i="104"/>
  <c r="AS10" i="104"/>
  <c r="AP10" i="104"/>
  <c r="AO10" i="104"/>
  <c r="AN10" i="104"/>
  <c r="AH10" i="104"/>
  <c r="AD10" i="104"/>
  <c r="AC10" i="104"/>
  <c r="Z10" i="104"/>
  <c r="Y10" i="104"/>
  <c r="X10" i="104"/>
  <c r="R10" i="104"/>
  <c r="N10" i="104"/>
  <c r="M10" i="104"/>
  <c r="J10" i="104"/>
  <c r="I10" i="104"/>
  <c r="H10" i="104"/>
  <c r="BL7" i="104"/>
  <c r="BL11" i="104" s="1"/>
  <c r="BK7" i="104"/>
  <c r="BK31" i="104" s="1"/>
  <c r="BJ7" i="104"/>
  <c r="BJ31" i="104" s="1"/>
  <c r="BI7" i="104"/>
  <c r="BI31" i="104" s="1"/>
  <c r="BH7" i="104"/>
  <c r="BH11" i="104" s="1"/>
  <c r="BG7" i="104"/>
  <c r="BG13" i="104" s="1"/>
  <c r="BF7" i="104"/>
  <c r="BF31" i="104" s="1"/>
  <c r="BE7" i="104"/>
  <c r="BE31" i="104" s="1"/>
  <c r="BD7" i="104"/>
  <c r="BC7" i="104"/>
  <c r="BC13" i="104" s="1"/>
  <c r="BB7" i="104"/>
  <c r="BB31" i="104" s="1"/>
  <c r="BA7" i="104"/>
  <c r="BA13" i="104" s="1"/>
  <c r="AZ7" i="104"/>
  <c r="AZ13" i="104" s="1"/>
  <c r="AY7" i="104"/>
  <c r="AY13" i="104" s="1"/>
  <c r="AX7" i="104"/>
  <c r="AX31" i="104" s="1"/>
  <c r="AW7" i="104"/>
  <c r="AW11" i="104" s="1"/>
  <c r="AV7" i="104"/>
  <c r="AV11" i="104" s="1"/>
  <c r="AU7" i="104"/>
  <c r="AU31" i="104" s="1"/>
  <c r="AT7" i="104"/>
  <c r="AT31" i="104" s="1"/>
  <c r="AS7" i="104"/>
  <c r="AS31" i="104" s="1"/>
  <c r="AR7" i="104"/>
  <c r="AR11" i="104" s="1"/>
  <c r="AQ7" i="104"/>
  <c r="AQ13" i="104" s="1"/>
  <c r="AP7" i="104"/>
  <c r="AP31" i="104" s="1"/>
  <c r="AO7" i="104"/>
  <c r="AO31" i="104" s="1"/>
  <c r="AN7" i="104"/>
  <c r="AM7" i="104"/>
  <c r="AM13" i="104" s="1"/>
  <c r="AL7" i="104"/>
  <c r="AL31" i="104" s="1"/>
  <c r="AK7" i="104"/>
  <c r="AK31" i="104" s="1"/>
  <c r="AJ7" i="104"/>
  <c r="AJ13" i="104" s="1"/>
  <c r="AI7" i="104"/>
  <c r="AI13" i="104" s="1"/>
  <c r="AH7" i="104"/>
  <c r="AH31" i="104" s="1"/>
  <c r="AG7" i="104"/>
  <c r="AG11" i="104" s="1"/>
  <c r="AF7" i="104"/>
  <c r="AF11" i="104" s="1"/>
  <c r="AE7" i="104"/>
  <c r="AE31" i="104" s="1"/>
  <c r="AD7" i="104"/>
  <c r="AD31" i="104" s="1"/>
  <c r="AC7" i="104"/>
  <c r="AC31" i="104" s="1"/>
  <c r="AB7" i="104"/>
  <c r="AB11" i="104" s="1"/>
  <c r="AA7" i="104"/>
  <c r="AA13" i="104" s="1"/>
  <c r="Z7" i="104"/>
  <c r="Z31" i="104" s="1"/>
  <c r="Y7" i="104"/>
  <c r="Y31" i="104" s="1"/>
  <c r="X7" i="104"/>
  <c r="W7" i="104"/>
  <c r="W13" i="104" s="1"/>
  <c r="V7" i="104"/>
  <c r="V31" i="104" s="1"/>
  <c r="U7" i="104"/>
  <c r="U13" i="104" s="1"/>
  <c r="T7" i="104"/>
  <c r="T13" i="104" s="1"/>
  <c r="S7" i="104"/>
  <c r="S13" i="104" s="1"/>
  <c r="R7" i="104"/>
  <c r="R31" i="104" s="1"/>
  <c r="Q7" i="104"/>
  <c r="Q11" i="104" s="1"/>
  <c r="P7" i="104"/>
  <c r="P11" i="104" s="1"/>
  <c r="O7" i="104"/>
  <c r="O31" i="104" s="1"/>
  <c r="N7" i="104"/>
  <c r="N31" i="104" s="1"/>
  <c r="M7" i="104"/>
  <c r="M31" i="104" s="1"/>
  <c r="L7" i="104"/>
  <c r="L11" i="104" s="1"/>
  <c r="K7" i="104"/>
  <c r="K13" i="104" s="1"/>
  <c r="J7" i="104"/>
  <c r="J31" i="104" s="1"/>
  <c r="I7" i="104"/>
  <c r="I31" i="104" s="1"/>
  <c r="H7" i="104"/>
  <c r="G7" i="104"/>
  <c r="G10" i="104" s="1"/>
  <c r="G14" i="104" s="1"/>
  <c r="F7" i="104"/>
  <c r="F31" i="104" s="1"/>
  <c r="E7" i="104"/>
  <c r="E31" i="104" s="1"/>
  <c r="L50" i="103"/>
  <c r="L49" i="103"/>
  <c r="J48" i="103"/>
  <c r="K48" i="103" s="1"/>
  <c r="K49" i="103" s="1"/>
  <c r="K50" i="103" s="1"/>
  <c r="N45" i="103"/>
  <c r="J44" i="103"/>
  <c r="B42" i="103"/>
  <c r="B33" i="103"/>
  <c r="J29" i="103"/>
  <c r="L29" i="103" s="1"/>
  <c r="N26" i="103"/>
  <c r="J25" i="103" s="1"/>
  <c r="T10" i="103"/>
  <c r="M10" i="103"/>
  <c r="J10" i="103"/>
  <c r="K10" i="103" s="1"/>
  <c r="N7" i="103"/>
  <c r="J6" i="103" s="1"/>
  <c r="C81" i="102"/>
  <c r="B60" i="102"/>
  <c r="E54" i="102"/>
  <c r="B51" i="102"/>
  <c r="D32" i="102" s="1"/>
  <c r="B50" i="102"/>
  <c r="E31" i="102" s="1"/>
  <c r="F35" i="102"/>
  <c r="G34" i="102"/>
  <c r="F34" i="102"/>
  <c r="G33" i="102"/>
  <c r="F33" i="102"/>
  <c r="E33" i="102"/>
  <c r="D33" i="102"/>
  <c r="C33" i="102"/>
  <c r="F32" i="102"/>
  <c r="E32" i="102"/>
  <c r="F31" i="102"/>
  <c r="G30" i="102"/>
  <c r="F30" i="102"/>
  <c r="E30" i="102"/>
  <c r="E60" i="102" s="1"/>
  <c r="D30" i="102"/>
  <c r="C30" i="102"/>
  <c r="G18" i="102"/>
  <c r="F18" i="102"/>
  <c r="E18" i="102"/>
  <c r="D18" i="102"/>
  <c r="C18" i="102"/>
  <c r="G17" i="102"/>
  <c r="F17" i="102"/>
  <c r="E17" i="102"/>
  <c r="D17" i="102"/>
  <c r="C17" i="102"/>
  <c r="D16" i="102"/>
  <c r="C16" i="102"/>
  <c r="G15" i="102"/>
  <c r="F15" i="102"/>
  <c r="E15" i="102"/>
  <c r="D15" i="102"/>
  <c r="C15" i="102"/>
  <c r="G11" i="102"/>
  <c r="G10" i="102"/>
  <c r="L9" i="102"/>
  <c r="M9" i="102" s="1"/>
  <c r="N9" i="102" s="1"/>
  <c r="O9" i="102" s="1"/>
  <c r="G9" i="102"/>
  <c r="G7" i="102"/>
  <c r="M4" i="102"/>
  <c r="F2" i="102" s="1"/>
  <c r="D3" i="102"/>
  <c r="D6" i="102" s="1"/>
  <c r="E2" i="102"/>
  <c r="E16" i="102" s="1"/>
  <c r="D2" i="102"/>
  <c r="C2" i="102"/>
  <c r="C3" i="102" s="1"/>
  <c r="C6" i="102" s="1"/>
  <c r="C6" i="114" l="1"/>
  <c r="C38" i="114" s="1"/>
  <c r="C40" i="114" s="1"/>
  <c r="C42" i="114" s="1"/>
  <c r="C62" i="114" s="1"/>
  <c r="D3" i="114"/>
  <c r="D6" i="114" s="1"/>
  <c r="D38" i="114" s="1"/>
  <c r="D40" i="114" s="1"/>
  <c r="D42" i="114" s="1"/>
  <c r="D62" i="114" s="1"/>
  <c r="D63" i="114" s="1"/>
  <c r="F16" i="114"/>
  <c r="F3" i="114"/>
  <c r="F6" i="114" s="1"/>
  <c r="G2" i="114"/>
  <c r="F35" i="114"/>
  <c r="G37" i="114" s="1"/>
  <c r="G60" i="114" s="1"/>
  <c r="E3" i="114"/>
  <c r="E6" i="114" s="1"/>
  <c r="E38" i="114" s="1"/>
  <c r="G12" i="114"/>
  <c r="G60" i="107"/>
  <c r="C38" i="107"/>
  <c r="F60" i="102"/>
  <c r="B62" i="107"/>
  <c r="C38" i="102"/>
  <c r="G2" i="102"/>
  <c r="F16" i="102"/>
  <c r="F3" i="102"/>
  <c r="F6" i="102" s="1"/>
  <c r="F38" i="102" s="1"/>
  <c r="D60" i="102"/>
  <c r="D38" i="102"/>
  <c r="C60" i="102"/>
  <c r="G16" i="104"/>
  <c r="G18" i="104" s="1"/>
  <c r="G23" i="104" s="1"/>
  <c r="G51" i="104" s="1"/>
  <c r="G17" i="104"/>
  <c r="R14" i="104"/>
  <c r="AH14" i="104"/>
  <c r="I36" i="104"/>
  <c r="I37" i="104"/>
  <c r="I30" i="104"/>
  <c r="Q36" i="104"/>
  <c r="Q29" i="104"/>
  <c r="Q35" i="104"/>
  <c r="Q34" i="104"/>
  <c r="Q28" i="104"/>
  <c r="Y36" i="104"/>
  <c r="Y37" i="104"/>
  <c r="Y30" i="104"/>
  <c r="AC36" i="104"/>
  <c r="AC35" i="104"/>
  <c r="AC34" i="104"/>
  <c r="AC28" i="104"/>
  <c r="AK36" i="104"/>
  <c r="AK37" i="104"/>
  <c r="AK30" i="104"/>
  <c r="AK29" i="104"/>
  <c r="AS36" i="104"/>
  <c r="AS35" i="104"/>
  <c r="AS34" i="104"/>
  <c r="AS28" i="104"/>
  <c r="BA36" i="104"/>
  <c r="BA37" i="104"/>
  <c r="BA30" i="104"/>
  <c r="BA29" i="104"/>
  <c r="BI36" i="104"/>
  <c r="BI35" i="104"/>
  <c r="BI34" i="104"/>
  <c r="BI28" i="104"/>
  <c r="AO28" i="104"/>
  <c r="I29" i="104"/>
  <c r="AW30" i="104"/>
  <c r="AK34" i="104"/>
  <c r="AK35" i="104"/>
  <c r="BI37" i="104"/>
  <c r="F42" i="111"/>
  <c r="F62" i="111" s="1"/>
  <c r="F63" i="111" s="1"/>
  <c r="F40" i="111"/>
  <c r="E3" i="102"/>
  <c r="E6" i="102" s="1"/>
  <c r="E38" i="102" s="1"/>
  <c r="M11" i="103"/>
  <c r="L30" i="103"/>
  <c r="L31" i="103" s="1"/>
  <c r="L32" i="103" s="1"/>
  <c r="L33" i="103" s="1"/>
  <c r="L34" i="103" s="1"/>
  <c r="L35" i="103" s="1"/>
  <c r="L36" i="103" s="1"/>
  <c r="L37" i="103" s="1"/>
  <c r="L38" i="103" s="1"/>
  <c r="H11" i="104"/>
  <c r="H14" i="104" s="1"/>
  <c r="H31" i="104"/>
  <c r="X11" i="104"/>
  <c r="X14" i="104" s="1"/>
  <c r="X31" i="104"/>
  <c r="AN11" i="104"/>
  <c r="AN14" i="104" s="1"/>
  <c r="AN31" i="104"/>
  <c r="BD11" i="104"/>
  <c r="BD14" i="104" s="1"/>
  <c r="BD31" i="104"/>
  <c r="N14" i="104"/>
  <c r="Y14" i="104"/>
  <c r="AF12" i="104"/>
  <c r="BL12" i="104"/>
  <c r="X13" i="104"/>
  <c r="AN13" i="104"/>
  <c r="BD13" i="104"/>
  <c r="BA28" i="104"/>
  <c r="BE29" i="104"/>
  <c r="M37" i="104"/>
  <c r="D38" i="111"/>
  <c r="E10" i="104"/>
  <c r="E14" i="104" s="1"/>
  <c r="P10" i="104"/>
  <c r="U10" i="104"/>
  <c r="U14" i="104" s="1"/>
  <c r="AF10" i="104"/>
  <c r="AF14" i="104" s="1"/>
  <c r="AK10" i="104"/>
  <c r="AK14" i="104" s="1"/>
  <c r="AV10" i="104"/>
  <c r="BA10" i="104"/>
  <c r="BF14" i="104"/>
  <c r="BL10" i="104"/>
  <c r="U11" i="104"/>
  <c r="AK11" i="104"/>
  <c r="BA11" i="104"/>
  <c r="L12" i="104"/>
  <c r="Q12" i="104"/>
  <c r="AB12" i="104"/>
  <c r="AG12" i="104"/>
  <c r="AR12" i="104"/>
  <c r="AW12" i="104"/>
  <c r="BH12" i="104"/>
  <c r="I13" i="104"/>
  <c r="I14" i="104" s="1"/>
  <c r="N13" i="104"/>
  <c r="Y13" i="104"/>
  <c r="AO13" i="104"/>
  <c r="AO14" i="104" s="1"/>
  <c r="BE13" i="104"/>
  <c r="BE14" i="104" s="1"/>
  <c r="I28" i="104"/>
  <c r="AK28" i="104"/>
  <c r="AO29" i="104"/>
  <c r="Q30" i="104"/>
  <c r="AS30" i="104"/>
  <c r="L31" i="104"/>
  <c r="AG31" i="104"/>
  <c r="AR31" i="104"/>
  <c r="AO34" i="104"/>
  <c r="I35" i="104"/>
  <c r="Y35" i="104"/>
  <c r="AC37" i="104"/>
  <c r="D3" i="107"/>
  <c r="D6" i="107" s="1"/>
  <c r="D38" i="107" s="1"/>
  <c r="D16" i="107"/>
  <c r="E38" i="107"/>
  <c r="E42" i="110"/>
  <c r="E62" i="110" s="1"/>
  <c r="E63" i="110" s="1"/>
  <c r="E40" i="110"/>
  <c r="E40" i="111"/>
  <c r="E42" i="111" s="1"/>
  <c r="E62" i="111" s="1"/>
  <c r="E63" i="111" s="1"/>
  <c r="L10" i="103"/>
  <c r="E30" i="104"/>
  <c r="E29" i="104"/>
  <c r="M36" i="104"/>
  <c r="M35" i="104"/>
  <c r="M34" i="104"/>
  <c r="M28" i="104"/>
  <c r="U36" i="104"/>
  <c r="U37" i="104"/>
  <c r="U30" i="104"/>
  <c r="U29" i="104"/>
  <c r="AG36" i="104"/>
  <c r="AG29" i="104"/>
  <c r="AG35" i="104"/>
  <c r="AG34" i="104"/>
  <c r="AG28" i="104"/>
  <c r="AO36" i="104"/>
  <c r="AO37" i="104"/>
  <c r="AO30" i="104"/>
  <c r="AW36" i="104"/>
  <c r="AW29" i="104"/>
  <c r="AW35" i="104"/>
  <c r="AW34" i="104"/>
  <c r="AW28" i="104"/>
  <c r="BE36" i="104"/>
  <c r="BE37" i="104"/>
  <c r="BE30" i="104"/>
  <c r="E28" i="104"/>
  <c r="AS29" i="104"/>
  <c r="M30" i="104"/>
  <c r="I34" i="104"/>
  <c r="BA35" i="104"/>
  <c r="AG37" i="104"/>
  <c r="C31" i="102"/>
  <c r="G31" i="102"/>
  <c r="G60" i="102" s="1"/>
  <c r="B62" i="102"/>
  <c r="K29" i="103"/>
  <c r="N48" i="103"/>
  <c r="J49" i="103" s="1"/>
  <c r="N49" i="103" s="1"/>
  <c r="J50" i="103" s="1"/>
  <c r="N50" i="103" s="1"/>
  <c r="T31" i="104"/>
  <c r="T11" i="104"/>
  <c r="AJ31" i="104"/>
  <c r="AJ11" i="104"/>
  <c r="AZ31" i="104"/>
  <c r="AZ11" i="104"/>
  <c r="T10" i="104"/>
  <c r="T14" i="104" s="1"/>
  <c r="AD14" i="104"/>
  <c r="AJ10" i="104"/>
  <c r="AT14" i="104"/>
  <c r="AZ10" i="104"/>
  <c r="AZ14" i="104" s="1"/>
  <c r="BJ14" i="104"/>
  <c r="P12" i="104"/>
  <c r="AV12" i="104"/>
  <c r="Y28" i="104"/>
  <c r="AC29" i="104"/>
  <c r="AG30" i="104"/>
  <c r="BI30" i="104"/>
  <c r="AF31" i="104"/>
  <c r="BL31" i="104"/>
  <c r="U34" i="104"/>
  <c r="BE34" i="104"/>
  <c r="D31" i="102"/>
  <c r="C32" i="102"/>
  <c r="G32" i="102"/>
  <c r="G8" i="102"/>
  <c r="G12" i="102"/>
  <c r="G35" i="102"/>
  <c r="N29" i="103"/>
  <c r="J30" i="103" s="1"/>
  <c r="F10" i="104"/>
  <c r="L10" i="104"/>
  <c r="L14" i="104" s="1"/>
  <c r="Q10" i="104"/>
  <c r="Q14" i="104" s="1"/>
  <c r="V10" i="104"/>
  <c r="V14" i="104" s="1"/>
  <c r="AB10" i="104"/>
  <c r="AG10" i="104"/>
  <c r="AL10" i="104"/>
  <c r="AL14" i="104" s="1"/>
  <c r="AR10" i="104"/>
  <c r="AR14" i="104" s="1"/>
  <c r="AW10" i="104"/>
  <c r="AW14" i="104" s="1"/>
  <c r="BB10" i="104"/>
  <c r="BH10" i="104"/>
  <c r="BH14" i="104" s="1"/>
  <c r="F11" i="104"/>
  <c r="V11" i="104"/>
  <c r="AL11" i="104"/>
  <c r="BB11" i="104"/>
  <c r="H12" i="104"/>
  <c r="M12" i="104"/>
  <c r="M14" i="104" s="1"/>
  <c r="R12" i="104"/>
  <c r="X12" i="104"/>
  <c r="AC12" i="104"/>
  <c r="AC14" i="104" s="1"/>
  <c r="AH12" i="104"/>
  <c r="AN12" i="104"/>
  <c r="AS12" i="104"/>
  <c r="AS14" i="104" s="1"/>
  <c r="AX12" i="104"/>
  <c r="AX14" i="104" s="1"/>
  <c r="BD12" i="104"/>
  <c r="BI12" i="104"/>
  <c r="BI14" i="104" s="1"/>
  <c r="J13" i="104"/>
  <c r="J14" i="104" s="1"/>
  <c r="P13" i="104"/>
  <c r="Z13" i="104"/>
  <c r="Z14" i="104" s="1"/>
  <c r="AF13" i="104"/>
  <c r="AK13" i="104"/>
  <c r="AP13" i="104"/>
  <c r="AP14" i="104" s="1"/>
  <c r="AV13" i="104"/>
  <c r="BF13" i="104"/>
  <c r="BL13" i="104"/>
  <c r="H37" i="104"/>
  <c r="H36" i="104"/>
  <c r="H35" i="104"/>
  <c r="H34" i="104"/>
  <c r="H28" i="104"/>
  <c r="L37" i="104"/>
  <c r="L29" i="104"/>
  <c r="L36" i="104"/>
  <c r="L35" i="104"/>
  <c r="L34" i="104"/>
  <c r="L28" i="104"/>
  <c r="P37" i="104"/>
  <c r="P30" i="104"/>
  <c r="P29" i="104"/>
  <c r="T37" i="104"/>
  <c r="T30" i="104"/>
  <c r="X37" i="104"/>
  <c r="X36" i="104"/>
  <c r="X35" i="104"/>
  <c r="X34" i="104"/>
  <c r="X28" i="104"/>
  <c r="AB37" i="104"/>
  <c r="AB29" i="104"/>
  <c r="AB36" i="104"/>
  <c r="AB35" i="104"/>
  <c r="AB34" i="104"/>
  <c r="AB28" i="104"/>
  <c r="AF37" i="104"/>
  <c r="AF30" i="104"/>
  <c r="AF29" i="104"/>
  <c r="AJ37" i="104"/>
  <c r="AJ30" i="104"/>
  <c r="AN37" i="104"/>
  <c r="AN36" i="104"/>
  <c r="AN35" i="104"/>
  <c r="AN34" i="104"/>
  <c r="AN28" i="104"/>
  <c r="AR37" i="104"/>
  <c r="AR29" i="104"/>
  <c r="AR36" i="104"/>
  <c r="AR35" i="104"/>
  <c r="AR34" i="104"/>
  <c r="AR28" i="104"/>
  <c r="AV37" i="104"/>
  <c r="AV30" i="104"/>
  <c r="AV29" i="104"/>
  <c r="AZ37" i="104"/>
  <c r="AZ30" i="104"/>
  <c r="BD37" i="104"/>
  <c r="BD36" i="104"/>
  <c r="BD35" i="104"/>
  <c r="BD34" i="104"/>
  <c r="BD28" i="104"/>
  <c r="BH37" i="104"/>
  <c r="BH29" i="104"/>
  <c r="BH36" i="104"/>
  <c r="BH35" i="104"/>
  <c r="BH34" i="104"/>
  <c r="BH28" i="104"/>
  <c r="BL37" i="104"/>
  <c r="BL30" i="104"/>
  <c r="BL29" i="104"/>
  <c r="U28" i="104"/>
  <c r="AV28" i="104"/>
  <c r="BE28" i="104"/>
  <c r="H29" i="104"/>
  <c r="Y29" i="104"/>
  <c r="AZ29" i="104"/>
  <c r="BI29" i="104"/>
  <c r="L30" i="104"/>
  <c r="AC30" i="104"/>
  <c r="BD30" i="104"/>
  <c r="P31" i="104"/>
  <c r="AV31" i="104"/>
  <c r="P34" i="104"/>
  <c r="Y34" i="104"/>
  <c r="AJ34" i="104"/>
  <c r="BA34" i="104"/>
  <c r="T35" i="104"/>
  <c r="AJ35" i="104"/>
  <c r="AZ35" i="104"/>
  <c r="P36" i="104"/>
  <c r="AZ36" i="104"/>
  <c r="Q37" i="104"/>
  <c r="AS37" i="104"/>
  <c r="F40" i="107"/>
  <c r="F42" i="107" s="1"/>
  <c r="F62" i="107" s="1"/>
  <c r="F63" i="107" s="1"/>
  <c r="S31" i="104"/>
  <c r="AI31" i="104"/>
  <c r="AY31" i="104"/>
  <c r="BJ47" i="104"/>
  <c r="BF47" i="104"/>
  <c r="BB47" i="104"/>
  <c r="AX47" i="104"/>
  <c r="AT47" i="104"/>
  <c r="AP47" i="104"/>
  <c r="AL47" i="104"/>
  <c r="AH47" i="104"/>
  <c r="AD47" i="104"/>
  <c r="Z47" i="104"/>
  <c r="V47" i="104"/>
  <c r="R47" i="104"/>
  <c r="N47" i="104"/>
  <c r="J47" i="104"/>
  <c r="F47" i="104"/>
  <c r="BI47" i="104"/>
  <c r="BE47" i="104"/>
  <c r="BA47" i="104"/>
  <c r="AW47" i="104"/>
  <c r="AS47" i="104"/>
  <c r="AO47" i="104"/>
  <c r="AK47" i="104"/>
  <c r="AG47" i="104"/>
  <c r="AC47" i="104"/>
  <c r="Y47" i="104"/>
  <c r="U47" i="104"/>
  <c r="Q47" i="104"/>
  <c r="M47" i="104"/>
  <c r="I47" i="104"/>
  <c r="E47" i="104"/>
  <c r="BL47" i="104"/>
  <c r="BD47" i="104"/>
  <c r="AV47" i="104"/>
  <c r="AN47" i="104"/>
  <c r="AF47" i="104"/>
  <c r="X47" i="104"/>
  <c r="P47" i="104"/>
  <c r="H47" i="104"/>
  <c r="O47" i="104"/>
  <c r="AA47" i="104"/>
  <c r="AJ47" i="104"/>
  <c r="AU47" i="104"/>
  <c r="BG47" i="104"/>
  <c r="G16" i="110"/>
  <c r="G3" i="110"/>
  <c r="G6" i="110" s="1"/>
  <c r="G38" i="110" s="1"/>
  <c r="O9" i="110"/>
  <c r="F3" i="110"/>
  <c r="F6" i="110" s="1"/>
  <c r="F38" i="110" s="1"/>
  <c r="B62" i="110"/>
  <c r="K10" i="104"/>
  <c r="K14" i="104" s="1"/>
  <c r="O10" i="104"/>
  <c r="S10" i="104"/>
  <c r="W10" i="104"/>
  <c r="W14" i="104" s="1"/>
  <c r="AA10" i="104"/>
  <c r="AA14" i="104" s="1"/>
  <c r="AE10" i="104"/>
  <c r="AI10" i="104"/>
  <c r="AM10" i="104"/>
  <c r="AM14" i="104" s="1"/>
  <c r="AQ10" i="104"/>
  <c r="AQ14" i="104" s="1"/>
  <c r="AU10" i="104"/>
  <c r="AY10" i="104"/>
  <c r="BC10" i="104"/>
  <c r="BC14" i="104" s="1"/>
  <c r="BG10" i="104"/>
  <c r="BG14" i="104" s="1"/>
  <c r="BK10" i="104"/>
  <c r="K12" i="104"/>
  <c r="O12" i="104"/>
  <c r="S12" i="104"/>
  <c r="W12" i="104"/>
  <c r="AA12" i="104"/>
  <c r="AE12" i="104"/>
  <c r="AI12" i="104"/>
  <c r="AM12" i="104"/>
  <c r="AQ12" i="104"/>
  <c r="AU12" i="104"/>
  <c r="AY12" i="104"/>
  <c r="BC12" i="104"/>
  <c r="BG12" i="104"/>
  <c r="BK12" i="104"/>
  <c r="O13" i="104"/>
  <c r="AE13" i="104"/>
  <c r="AU13" i="104"/>
  <c r="BK13" i="104"/>
  <c r="S28" i="104"/>
  <c r="AI28" i="104"/>
  <c r="AY28" i="104"/>
  <c r="G29" i="104"/>
  <c r="W29" i="104"/>
  <c r="AM29" i="104"/>
  <c r="BC29" i="104"/>
  <c r="K30" i="104"/>
  <c r="AA30" i="104"/>
  <c r="AQ30" i="104"/>
  <c r="BG30" i="104"/>
  <c r="S34" i="104"/>
  <c r="AI34" i="104"/>
  <c r="AY34" i="104"/>
  <c r="S36" i="104"/>
  <c r="AI36" i="104"/>
  <c r="AY36" i="104"/>
  <c r="O37" i="104"/>
  <c r="AE37" i="104"/>
  <c r="AU37" i="104"/>
  <c r="BK37" i="104"/>
  <c r="BK42" i="104"/>
  <c r="BG42" i="104"/>
  <c r="BC42" i="104"/>
  <c r="AY42" i="104"/>
  <c r="AU42" i="104"/>
  <c r="AQ42" i="104"/>
  <c r="AM42" i="104"/>
  <c r="AI42" i="104"/>
  <c r="AE42" i="104"/>
  <c r="AA42" i="104"/>
  <c r="W42" i="104"/>
  <c r="S42" i="104"/>
  <c r="O42" i="104"/>
  <c r="K42" i="104"/>
  <c r="G42" i="104"/>
  <c r="BJ42" i="104"/>
  <c r="BF42" i="104"/>
  <c r="BB42" i="104"/>
  <c r="AX42" i="104"/>
  <c r="AT42" i="104"/>
  <c r="AP42" i="104"/>
  <c r="AL42" i="104"/>
  <c r="AH42" i="104"/>
  <c r="AD42" i="104"/>
  <c r="Z42" i="104"/>
  <c r="V42" i="104"/>
  <c r="R42" i="104"/>
  <c r="N42" i="104"/>
  <c r="J42" i="104"/>
  <c r="F42" i="104"/>
  <c r="BI42" i="104"/>
  <c r="BA42" i="104"/>
  <c r="AS42" i="104"/>
  <c r="AK42" i="104"/>
  <c r="AC42" i="104"/>
  <c r="U42" i="104"/>
  <c r="M42" i="104"/>
  <c r="E42" i="104"/>
  <c r="P42" i="104"/>
  <c r="Y42" i="104"/>
  <c r="AJ42" i="104"/>
  <c r="AV42" i="104"/>
  <c r="BE42" i="104"/>
  <c r="G47" i="104"/>
  <c r="S47" i="104"/>
  <c r="AB47" i="104"/>
  <c r="AM47" i="104"/>
  <c r="AY47" i="104"/>
  <c r="BH47" i="104"/>
  <c r="C3" i="110"/>
  <c r="C6" i="110" s="1"/>
  <c r="C38" i="110" s="1"/>
  <c r="D16" i="110"/>
  <c r="D38" i="110" s="1"/>
  <c r="C60" i="110"/>
  <c r="G60" i="110"/>
  <c r="C3" i="111"/>
  <c r="C6" i="111" s="1"/>
  <c r="C38" i="111" s="1"/>
  <c r="G38" i="111"/>
  <c r="F28" i="104"/>
  <c r="J28" i="104"/>
  <c r="N28" i="104"/>
  <c r="R28" i="104"/>
  <c r="V28" i="104"/>
  <c r="Z28" i="104"/>
  <c r="AD28" i="104"/>
  <c r="AH28" i="104"/>
  <c r="AL28" i="104"/>
  <c r="AP28" i="104"/>
  <c r="AT28" i="104"/>
  <c r="AX28" i="104"/>
  <c r="BB28" i="104"/>
  <c r="BF28" i="104"/>
  <c r="BJ28" i="104"/>
  <c r="F29" i="104"/>
  <c r="J29" i="104"/>
  <c r="N29" i="104"/>
  <c r="R29" i="104"/>
  <c r="V29" i="104"/>
  <c r="Z29" i="104"/>
  <c r="AD29" i="104"/>
  <c r="AH29" i="104"/>
  <c r="AL29" i="104"/>
  <c r="AP29" i="104"/>
  <c r="AT29" i="104"/>
  <c r="AX29" i="104"/>
  <c r="BB29" i="104"/>
  <c r="BF29" i="104"/>
  <c r="BJ29" i="104"/>
  <c r="F30" i="104"/>
  <c r="J30" i="104"/>
  <c r="N30" i="104"/>
  <c r="R30" i="104"/>
  <c r="V30" i="104"/>
  <c r="Z30" i="104"/>
  <c r="AD30" i="104"/>
  <c r="AH30" i="104"/>
  <c r="AL30" i="104"/>
  <c r="AP30" i="104"/>
  <c r="AT30" i="104"/>
  <c r="AX30" i="104"/>
  <c r="BB30" i="104"/>
  <c r="BF30" i="104"/>
  <c r="BJ30" i="104"/>
  <c r="BL41" i="104"/>
  <c r="BH41" i="104"/>
  <c r="BD41" i="104"/>
  <c r="AZ41" i="104"/>
  <c r="AV41" i="104"/>
  <c r="AR41" i="104"/>
  <c r="AN41" i="104"/>
  <c r="AJ41" i="104"/>
  <c r="AF41" i="104"/>
  <c r="AB41" i="104"/>
  <c r="X41" i="104"/>
  <c r="BK41" i="104"/>
  <c r="BG41" i="104"/>
  <c r="BC41" i="104"/>
  <c r="AY41" i="104"/>
  <c r="AU41" i="104"/>
  <c r="AQ41" i="104"/>
  <c r="AM41" i="104"/>
  <c r="AI41" i="104"/>
  <c r="AE41" i="104"/>
  <c r="AA41" i="104"/>
  <c r="W41" i="104"/>
  <c r="S41" i="104"/>
  <c r="O41" i="104"/>
  <c r="K41" i="104"/>
  <c r="G41" i="104"/>
  <c r="I41" i="104"/>
  <c r="N41" i="104"/>
  <c r="T41" i="104"/>
  <c r="Z41" i="104"/>
  <c r="AH41" i="104"/>
  <c r="AP41" i="104"/>
  <c r="AX41" i="104"/>
  <c r="BF41" i="104"/>
  <c r="J69" i="104"/>
  <c r="I70" i="104" s="1"/>
  <c r="F85" i="104"/>
  <c r="G38" i="107"/>
  <c r="D60" i="110"/>
  <c r="G35" i="111"/>
  <c r="G60" i="111" s="1"/>
  <c r="C63" i="114" l="1"/>
  <c r="G3" i="114"/>
  <c r="G6" i="114" s="1"/>
  <c r="G16" i="114"/>
  <c r="F60" i="114"/>
  <c r="F38" i="114"/>
  <c r="E40" i="114"/>
  <c r="E42" i="114" s="1"/>
  <c r="E62" i="114" s="1"/>
  <c r="E63" i="114" s="1"/>
  <c r="C40" i="107"/>
  <c r="C42" i="107"/>
  <c r="C62" i="107" s="1"/>
  <c r="C63" i="107" s="1"/>
  <c r="BI17" i="104"/>
  <c r="BI18" i="104" s="1"/>
  <c r="BI23" i="104" s="1"/>
  <c r="BI51" i="104" s="1"/>
  <c r="BI16" i="104"/>
  <c r="J70" i="104"/>
  <c r="I71" i="104" s="1"/>
  <c r="D40" i="110"/>
  <c r="D42" i="110" s="1"/>
  <c r="D62" i="110" s="1"/>
  <c r="D63" i="110" s="1"/>
  <c r="Z17" i="104"/>
  <c r="Z16" i="104"/>
  <c r="Z18" i="104" s="1"/>
  <c r="Z23" i="104" s="1"/>
  <c r="Z51" i="104" s="1"/>
  <c r="M17" i="104"/>
  <c r="M16" i="104"/>
  <c r="M18" i="104" s="1"/>
  <c r="M23" i="104" s="1"/>
  <c r="M51" i="104" s="1"/>
  <c r="J18" i="104"/>
  <c r="J23" i="104" s="1"/>
  <c r="J51" i="104" s="1"/>
  <c r="J17" i="104"/>
  <c r="J16" i="104"/>
  <c r="AS17" i="104"/>
  <c r="AS18" i="104" s="1"/>
  <c r="AS23" i="104" s="1"/>
  <c r="AS51" i="104" s="1"/>
  <c r="AS16" i="104"/>
  <c r="AO17" i="104"/>
  <c r="AO16" i="104"/>
  <c r="AO18" i="104" s="1"/>
  <c r="AO23" i="104" s="1"/>
  <c r="AO51" i="104" s="1"/>
  <c r="BD16" i="104"/>
  <c r="BD17" i="104"/>
  <c r="BD18" i="104"/>
  <c r="BD23" i="104" s="1"/>
  <c r="BD51" i="104" s="1"/>
  <c r="X18" i="104"/>
  <c r="X23" i="104" s="1"/>
  <c r="X51" i="104" s="1"/>
  <c r="X16" i="104"/>
  <c r="X17" i="104"/>
  <c r="AP17" i="104"/>
  <c r="AP18" i="104" s="1"/>
  <c r="AP23" i="104" s="1"/>
  <c r="AP51" i="104" s="1"/>
  <c r="AP16" i="104"/>
  <c r="AX17" i="104"/>
  <c r="AX16" i="104"/>
  <c r="AX18" i="104" s="1"/>
  <c r="AX23" i="104" s="1"/>
  <c r="AX51" i="104" s="1"/>
  <c r="AC17" i="104"/>
  <c r="AC16" i="104"/>
  <c r="AC18" i="104" s="1"/>
  <c r="AC23" i="104" s="1"/>
  <c r="AC51" i="104" s="1"/>
  <c r="BE18" i="104"/>
  <c r="BE23" i="104" s="1"/>
  <c r="BE51" i="104" s="1"/>
  <c r="BE17" i="104"/>
  <c r="BE16" i="104"/>
  <c r="I17" i="104"/>
  <c r="I18" i="104" s="1"/>
  <c r="I23" i="104" s="1"/>
  <c r="I51" i="104" s="1"/>
  <c r="I16" i="104"/>
  <c r="AN16" i="104"/>
  <c r="AN18" i="104" s="1"/>
  <c r="AN23" i="104" s="1"/>
  <c r="AN51" i="104" s="1"/>
  <c r="AN17" i="104"/>
  <c r="H16" i="104"/>
  <c r="H17" i="104"/>
  <c r="H18" i="104" s="1"/>
  <c r="H23" i="104" s="1"/>
  <c r="H51" i="104" s="1"/>
  <c r="BG17" i="104"/>
  <c r="BG16" i="104"/>
  <c r="BG18" i="104" s="1"/>
  <c r="BG23" i="104" s="1"/>
  <c r="BG51" i="104" s="1"/>
  <c r="AA17" i="104"/>
  <c r="AA16" i="104"/>
  <c r="AA18" i="104" s="1"/>
  <c r="AA23" i="104" s="1"/>
  <c r="AA51" i="104" s="1"/>
  <c r="G40" i="110"/>
  <c r="G42" i="110"/>
  <c r="G62" i="110" s="1"/>
  <c r="G63" i="110" s="1"/>
  <c r="V18" i="104"/>
  <c r="V23" i="104" s="1"/>
  <c r="V51" i="104" s="1"/>
  <c r="V17" i="104"/>
  <c r="V16" i="104"/>
  <c r="K30" i="103"/>
  <c r="M30" i="103" s="1"/>
  <c r="N30" i="103"/>
  <c r="J31" i="103" s="1"/>
  <c r="AD17" i="104"/>
  <c r="AD16" i="104"/>
  <c r="AD18" i="104" s="1"/>
  <c r="AD23" i="104" s="1"/>
  <c r="AD51" i="104" s="1"/>
  <c r="AK18" i="104"/>
  <c r="AK23" i="104" s="1"/>
  <c r="AK51" i="104" s="1"/>
  <c r="AK17" i="104"/>
  <c r="AK16" i="104"/>
  <c r="Y17" i="104"/>
  <c r="Y16" i="104"/>
  <c r="Y18" i="104" s="1"/>
  <c r="Y23" i="104" s="1"/>
  <c r="Y51" i="104" s="1"/>
  <c r="AH17" i="104"/>
  <c r="AH16" i="104"/>
  <c r="AH18" i="104" s="1"/>
  <c r="AH23" i="104" s="1"/>
  <c r="AH51" i="104" s="1"/>
  <c r="G40" i="107"/>
  <c r="G42" i="107"/>
  <c r="G62" i="107" s="1"/>
  <c r="G63" i="107" s="1"/>
  <c r="C40" i="111"/>
  <c r="C42" i="111"/>
  <c r="C62" i="111" s="1"/>
  <c r="AM16" i="104"/>
  <c r="AM18" i="104" s="1"/>
  <c r="AM23" i="104" s="1"/>
  <c r="AM51" i="104" s="1"/>
  <c r="AM17" i="104"/>
  <c r="BH17" i="104"/>
  <c r="BH16" i="104"/>
  <c r="BH18" i="104" s="1"/>
  <c r="BH23" i="104" s="1"/>
  <c r="BH51" i="104" s="1"/>
  <c r="AL17" i="104"/>
  <c r="AL16" i="104"/>
  <c r="AL18" i="104" s="1"/>
  <c r="AL23" i="104" s="1"/>
  <c r="AL51" i="104" s="1"/>
  <c r="T17" i="104"/>
  <c r="T16" i="104"/>
  <c r="T18" i="104" s="1"/>
  <c r="T23" i="104" s="1"/>
  <c r="T51" i="104" s="1"/>
  <c r="E40" i="107"/>
  <c r="E42" i="107" s="1"/>
  <c r="E62" i="107" s="1"/>
  <c r="E63" i="107" s="1"/>
  <c r="BA14" i="104"/>
  <c r="AF17" i="104"/>
  <c r="AF16" i="104"/>
  <c r="AF18" i="104" s="1"/>
  <c r="AF23" i="104" s="1"/>
  <c r="AF51" i="104" s="1"/>
  <c r="N17" i="104"/>
  <c r="N16" i="104"/>
  <c r="N18" i="104" s="1"/>
  <c r="N23" i="104" s="1"/>
  <c r="N51" i="104" s="1"/>
  <c r="R18" i="104"/>
  <c r="R23" i="104" s="1"/>
  <c r="R51" i="104" s="1"/>
  <c r="R17" i="104"/>
  <c r="R16" i="104"/>
  <c r="D40" i="102"/>
  <c r="D42" i="102" s="1"/>
  <c r="D62" i="102" s="1"/>
  <c r="F40" i="102"/>
  <c r="F42" i="102" s="1"/>
  <c r="F62" i="102" s="1"/>
  <c r="F63" i="102" s="1"/>
  <c r="AY14" i="104"/>
  <c r="AI14" i="104"/>
  <c r="S14" i="104"/>
  <c r="F40" i="110"/>
  <c r="F42" i="110" s="1"/>
  <c r="F62" i="110" s="1"/>
  <c r="F63" i="110" s="1"/>
  <c r="BB14" i="104"/>
  <c r="AG14" i="104"/>
  <c r="L16" i="104"/>
  <c r="L18" i="104" s="1"/>
  <c r="L23" i="104" s="1"/>
  <c r="L51" i="104" s="1"/>
  <c r="L17" i="104"/>
  <c r="AT17" i="104"/>
  <c r="AT16" i="104"/>
  <c r="AT18" i="104" s="1"/>
  <c r="AT23" i="104" s="1"/>
  <c r="AT51" i="104" s="1"/>
  <c r="M29" i="103"/>
  <c r="AV14" i="104"/>
  <c r="E17" i="104"/>
  <c r="E18" i="104" s="1"/>
  <c r="E23" i="104" s="1"/>
  <c r="E51" i="104" s="1"/>
  <c r="E52" i="104" s="1"/>
  <c r="E16" i="104"/>
  <c r="G40" i="111"/>
  <c r="G42" i="111"/>
  <c r="G62" i="111" s="1"/>
  <c r="G63" i="111" s="1"/>
  <c r="AQ17" i="104"/>
  <c r="AQ18" i="104" s="1"/>
  <c r="AQ23" i="104" s="1"/>
  <c r="AQ51" i="104" s="1"/>
  <c r="AQ16" i="104"/>
  <c r="K17" i="104"/>
  <c r="K16" i="104"/>
  <c r="K18" i="104" s="1"/>
  <c r="K23" i="104" s="1"/>
  <c r="K51" i="104" s="1"/>
  <c r="AR17" i="104"/>
  <c r="AR16" i="104"/>
  <c r="AR18" i="104" s="1"/>
  <c r="AR23" i="104" s="1"/>
  <c r="AR51" i="104" s="1"/>
  <c r="BJ17" i="104"/>
  <c r="BJ18" i="104" s="1"/>
  <c r="BJ23" i="104" s="1"/>
  <c r="BJ51" i="104" s="1"/>
  <c r="BJ16" i="104"/>
  <c r="BF17" i="104"/>
  <c r="BF16" i="104"/>
  <c r="BF18" i="104" s="1"/>
  <c r="BF23" i="104" s="1"/>
  <c r="BF51" i="104" s="1"/>
  <c r="P14" i="104"/>
  <c r="E40" i="102"/>
  <c r="E42" i="102"/>
  <c r="E62" i="102" s="1"/>
  <c r="E63" i="102" s="1"/>
  <c r="C42" i="102"/>
  <c r="C62" i="102" s="1"/>
  <c r="C40" i="102"/>
  <c r="C40" i="110"/>
  <c r="C42" i="110"/>
  <c r="C62" i="110" s="1"/>
  <c r="BC18" i="104"/>
  <c r="BC23" i="104" s="1"/>
  <c r="BC51" i="104" s="1"/>
  <c r="BC16" i="104"/>
  <c r="BC17" i="104"/>
  <c r="W16" i="104"/>
  <c r="W18" i="104" s="1"/>
  <c r="W23" i="104" s="1"/>
  <c r="W51" i="104" s="1"/>
  <c r="W17" i="104"/>
  <c r="Q17" i="104"/>
  <c r="Q16" i="104"/>
  <c r="Q18" i="104" s="1"/>
  <c r="Q23" i="104" s="1"/>
  <c r="Q51" i="104" s="1"/>
  <c r="AZ16" i="104"/>
  <c r="AZ18" i="104" s="1"/>
  <c r="AZ23" i="104" s="1"/>
  <c r="AZ51" i="104" s="1"/>
  <c r="AZ17" i="104"/>
  <c r="BK14" i="104"/>
  <c r="AU14" i="104"/>
  <c r="AE14" i="104"/>
  <c r="O14" i="104"/>
  <c r="AW18" i="104"/>
  <c r="AW23" i="104" s="1"/>
  <c r="AW51" i="104" s="1"/>
  <c r="AW17" i="104"/>
  <c r="AW16" i="104"/>
  <c r="AB14" i="104"/>
  <c r="F14" i="104"/>
  <c r="AJ14" i="104"/>
  <c r="N10" i="103"/>
  <c r="J11" i="103" s="1"/>
  <c r="D40" i="107"/>
  <c r="D42" i="107" s="1"/>
  <c r="D62" i="107" s="1"/>
  <c r="BL14" i="104"/>
  <c r="U17" i="104"/>
  <c r="U18" i="104" s="1"/>
  <c r="U23" i="104" s="1"/>
  <c r="U51" i="104" s="1"/>
  <c r="U16" i="104"/>
  <c r="D40" i="111"/>
  <c r="D42" i="111"/>
  <c r="D62" i="111" s="1"/>
  <c r="D63" i="111" s="1"/>
  <c r="M12" i="103"/>
  <c r="G3" i="102"/>
  <c r="G6" i="102" s="1"/>
  <c r="G16" i="102"/>
  <c r="L39" i="103"/>
  <c r="F40" i="114" l="1"/>
  <c r="F42" i="114" s="1"/>
  <c r="F62" i="114" s="1"/>
  <c r="G38" i="114"/>
  <c r="D63" i="107"/>
  <c r="B67" i="107" s="1"/>
  <c r="B66" i="107"/>
  <c r="B64" i="107" a="1"/>
  <c r="B64" i="107" s="1"/>
  <c r="B68" i="107"/>
  <c r="D63" i="102"/>
  <c r="J71" i="104"/>
  <c r="I72" i="104" s="1"/>
  <c r="M13" i="103"/>
  <c r="BK16" i="104"/>
  <c r="BK18" i="104" s="1"/>
  <c r="BK23" i="104" s="1"/>
  <c r="BK51" i="104" s="1"/>
  <c r="BK17" i="104"/>
  <c r="C63" i="102"/>
  <c r="B68" i="111"/>
  <c r="B64" i="111" a="1"/>
  <c r="B64" i="111" s="1"/>
  <c r="B66" i="111"/>
  <c r="C63" i="111"/>
  <c r="B67" i="111" s="1"/>
  <c r="N31" i="103"/>
  <c r="J32" i="103" s="1"/>
  <c r="K31" i="103"/>
  <c r="AJ17" i="104"/>
  <c r="AJ16" i="104"/>
  <c r="AJ18" i="104" s="1"/>
  <c r="AJ23" i="104" s="1"/>
  <c r="AJ51" i="104" s="1"/>
  <c r="O16" i="104"/>
  <c r="O18" i="104" s="1"/>
  <c r="O23" i="104" s="1"/>
  <c r="O51" i="104" s="1"/>
  <c r="O17" i="104"/>
  <c r="B68" i="110"/>
  <c r="B64" i="110" a="1"/>
  <c r="B64" i="110" s="1"/>
  <c r="C63" i="110"/>
  <c r="B67" i="110" s="1"/>
  <c r="AY17" i="104"/>
  <c r="AY18" i="104"/>
  <c r="AY23" i="104" s="1"/>
  <c r="AY51" i="104" s="1"/>
  <c r="AY16" i="104"/>
  <c r="G38" i="102"/>
  <c r="BL17" i="104"/>
  <c r="BL18" i="104" s="1"/>
  <c r="BL23" i="104" s="1"/>
  <c r="BL51" i="104" s="1"/>
  <c r="BL16" i="104"/>
  <c r="K11" i="103"/>
  <c r="AE16" i="104"/>
  <c r="AE18" i="104" s="1"/>
  <c r="AE23" i="104" s="1"/>
  <c r="AE51" i="104" s="1"/>
  <c r="AE17" i="104"/>
  <c r="AV17" i="104"/>
  <c r="AV18" i="104"/>
  <c r="AV23" i="104" s="1"/>
  <c r="AV51" i="104" s="1"/>
  <c r="AV16" i="104"/>
  <c r="F17" i="104"/>
  <c r="F16" i="104"/>
  <c r="F18" i="104" s="1"/>
  <c r="F23" i="104" s="1"/>
  <c r="F51" i="104" s="1"/>
  <c r="F52" i="104" s="1"/>
  <c r="BB17" i="104"/>
  <c r="BB16" i="104"/>
  <c r="BB18" i="104" s="1"/>
  <c r="BB23" i="104" s="1"/>
  <c r="BB51" i="104" s="1"/>
  <c r="AI17" i="104"/>
  <c r="AI16" i="104"/>
  <c r="AI18" i="104" s="1"/>
  <c r="AI23" i="104" s="1"/>
  <c r="AI51" i="104" s="1"/>
  <c r="AB16" i="104"/>
  <c r="AB18" i="104" s="1"/>
  <c r="AB23" i="104" s="1"/>
  <c r="AB51" i="104" s="1"/>
  <c r="AB17" i="104"/>
  <c r="AU16" i="104"/>
  <c r="AU18" i="104" s="1"/>
  <c r="AU23" i="104" s="1"/>
  <c r="AU51" i="104" s="1"/>
  <c r="AU17" i="104"/>
  <c r="P17" i="104"/>
  <c r="P16" i="104"/>
  <c r="P18" i="104" s="1"/>
  <c r="P23" i="104" s="1"/>
  <c r="P51" i="104" s="1"/>
  <c r="AG17" i="104"/>
  <c r="AG16" i="104"/>
  <c r="AG18" i="104" s="1"/>
  <c r="AG23" i="104" s="1"/>
  <c r="AG51" i="104" s="1"/>
  <c r="S17" i="104"/>
  <c r="S16" i="104"/>
  <c r="S18" i="104" s="1"/>
  <c r="S23" i="104" s="1"/>
  <c r="S51" i="104" s="1"/>
  <c r="BA17" i="104"/>
  <c r="BA18" i="104" s="1"/>
  <c r="BA23" i="104" s="1"/>
  <c r="BA51" i="104" s="1"/>
  <c r="BA16" i="104"/>
  <c r="B66" i="110"/>
  <c r="F63" i="114" l="1"/>
  <c r="G40" i="114"/>
  <c r="G42" i="114" s="1"/>
  <c r="G62" i="114" s="1"/>
  <c r="J72" i="104"/>
  <c r="I73" i="104" s="1"/>
  <c r="J73" i="104" s="1"/>
  <c r="G52" i="104"/>
  <c r="H52" i="104" s="1"/>
  <c r="I52" i="104" s="1"/>
  <c r="J52" i="104" s="1"/>
  <c r="K52" i="104" s="1"/>
  <c r="L52" i="104" s="1"/>
  <c r="M52" i="104" s="1"/>
  <c r="N52" i="104" s="1"/>
  <c r="O52" i="104" s="1"/>
  <c r="P52" i="104" s="1"/>
  <c r="Q52" i="104" s="1"/>
  <c r="R52" i="104" s="1"/>
  <c r="S52" i="104" s="1"/>
  <c r="T52" i="104" s="1"/>
  <c r="U52" i="104" s="1"/>
  <c r="V52" i="104" s="1"/>
  <c r="W52" i="104" s="1"/>
  <c r="X52" i="104" s="1"/>
  <c r="Y52" i="104" s="1"/>
  <c r="Z52" i="104" s="1"/>
  <c r="AA52" i="104" s="1"/>
  <c r="AB52" i="104" s="1"/>
  <c r="AC52" i="104" s="1"/>
  <c r="AD52" i="104" s="1"/>
  <c r="AE52" i="104" s="1"/>
  <c r="AF52" i="104" s="1"/>
  <c r="AG52" i="104" s="1"/>
  <c r="AH52" i="104" s="1"/>
  <c r="AI52" i="104" s="1"/>
  <c r="AJ52" i="104" s="1"/>
  <c r="AK52" i="104" s="1"/>
  <c r="AL52" i="104" s="1"/>
  <c r="AM52" i="104" s="1"/>
  <c r="AN52" i="104" s="1"/>
  <c r="AO52" i="104" s="1"/>
  <c r="AP52" i="104" s="1"/>
  <c r="AQ52" i="104" s="1"/>
  <c r="AR52" i="104" s="1"/>
  <c r="AS52" i="104" s="1"/>
  <c r="AT52" i="104" s="1"/>
  <c r="AU52" i="104" s="1"/>
  <c r="AV52" i="104" s="1"/>
  <c r="AW52" i="104" s="1"/>
  <c r="AX52" i="104" s="1"/>
  <c r="AY52" i="104" s="1"/>
  <c r="AZ52" i="104" s="1"/>
  <c r="BA52" i="104" s="1"/>
  <c r="BB52" i="104" s="1"/>
  <c r="BC52" i="104" s="1"/>
  <c r="BD52" i="104" s="1"/>
  <c r="BE52" i="104" s="1"/>
  <c r="BF52" i="104" s="1"/>
  <c r="BG52" i="104" s="1"/>
  <c r="BH52" i="104" s="1"/>
  <c r="BI52" i="104" s="1"/>
  <c r="BJ52" i="104" s="1"/>
  <c r="BK52" i="104" s="1"/>
  <c r="BL52" i="104" s="1"/>
  <c r="L11" i="103"/>
  <c r="M14" i="103"/>
  <c r="G40" i="102"/>
  <c r="G42" i="102" s="1"/>
  <c r="G62" i="102" s="1"/>
  <c r="K32" i="103"/>
  <c r="M32" i="103" s="1"/>
  <c r="N32" i="103"/>
  <c r="J33" i="103" s="1"/>
  <c r="M31" i="103"/>
  <c r="M20" i="103"/>
  <c r="G63" i="114" l="1"/>
  <c r="B66" i="114"/>
  <c r="B68" i="114"/>
  <c r="B64" i="114" a="1"/>
  <c r="B64" i="114" s="1"/>
  <c r="B67" i="114"/>
  <c r="G63" i="102"/>
  <c r="B67" i="102" s="1"/>
  <c r="B68" i="102"/>
  <c r="B64" i="102" a="1"/>
  <c r="B64" i="102" s="1"/>
  <c r="B66" i="102"/>
  <c r="M15" i="103"/>
  <c r="K39" i="103"/>
  <c r="M39" i="103"/>
  <c r="N11" i="103"/>
  <c r="J12" i="103" s="1"/>
  <c r="K33" i="103"/>
  <c r="M33" i="103" s="1"/>
  <c r="N33" i="103"/>
  <c r="J34" i="103" s="1"/>
  <c r="M16" i="103" l="1"/>
  <c r="K12" i="103"/>
  <c r="N34" i="103"/>
  <c r="J35" i="103" s="1"/>
  <c r="K34" i="103"/>
  <c r="M34" i="103" s="1"/>
  <c r="L12" i="103" l="1"/>
  <c r="K20" i="103"/>
  <c r="K35" i="103"/>
  <c r="M35" i="103" s="1"/>
  <c r="N35" i="103"/>
  <c r="J36" i="103" s="1"/>
  <c r="M17" i="103"/>
  <c r="N36" i="103" l="1"/>
  <c r="J37" i="103" s="1"/>
  <c r="K36" i="103"/>
  <c r="M36" i="103" s="1"/>
  <c r="M18" i="103"/>
  <c r="L20" i="103"/>
  <c r="N12" i="103"/>
  <c r="J13" i="103" s="1"/>
  <c r="K13" i="103" l="1"/>
  <c r="L13" i="103" s="1"/>
  <c r="N13" i="103"/>
  <c r="J14" i="103" s="1"/>
  <c r="M19" i="103"/>
  <c r="K37" i="103"/>
  <c r="M37" i="103" s="1"/>
  <c r="N37" i="103"/>
  <c r="J38" i="103" s="1"/>
  <c r="K14" i="103" l="1"/>
  <c r="L14" i="103" s="1"/>
  <c r="N14" i="103"/>
  <c r="J15" i="103" s="1"/>
  <c r="N38" i="103"/>
  <c r="K38" i="103"/>
  <c r="M38" i="103" s="1"/>
  <c r="K15" i="103" l="1"/>
  <c r="L15" i="103" s="1"/>
  <c r="N15" i="103" s="1"/>
  <c r="J16" i="103" s="1"/>
  <c r="K16" i="103" l="1"/>
  <c r="L16" i="103" s="1"/>
  <c r="N16" i="103"/>
  <c r="J17" i="103" s="1"/>
  <c r="K17" i="103" l="1"/>
  <c r="L17" i="103" s="1"/>
  <c r="N17" i="103"/>
  <c r="J18" i="103" s="1"/>
  <c r="K18" i="103" l="1"/>
  <c r="L18" i="103" s="1"/>
  <c r="N18" i="103"/>
  <c r="J19" i="103" s="1"/>
  <c r="K19" i="103" l="1"/>
  <c r="L19" i="103" s="1"/>
  <c r="N19" i="103" s="1"/>
  <c r="D168" i="51" l="1"/>
  <c r="H172" i="51"/>
  <c r="I172" i="51" s="1"/>
  <c r="K172" i="51" s="1"/>
  <c r="H170" i="51"/>
  <c r="I170" i="51" s="1"/>
  <c r="K170" i="51" s="1"/>
  <c r="H169" i="51"/>
  <c r="I169" i="51" s="1"/>
  <c r="K169" i="51" s="1"/>
  <c r="H168" i="51"/>
  <c r="I168" i="51" s="1"/>
  <c r="K168" i="51" s="1"/>
  <c r="H167" i="51"/>
  <c r="I167" i="51" s="1"/>
  <c r="K167" i="51" s="1"/>
  <c r="L167" i="51" l="1"/>
  <c r="N167" i="51" s="1"/>
  <c r="F124" i="100" l="1"/>
  <c r="G124" i="100"/>
  <c r="H124" i="100"/>
  <c r="I124" i="100"/>
  <c r="E124" i="100"/>
  <c r="I90" i="100" l="1"/>
  <c r="I89" i="100"/>
  <c r="H69" i="100" l="1"/>
  <c r="F101" i="100"/>
  <c r="G101" i="100" s="1"/>
  <c r="H101" i="100" s="1"/>
  <c r="I101" i="100" s="1"/>
  <c r="I58" i="100"/>
  <c r="I59" i="100" s="1"/>
  <c r="F120" i="100"/>
  <c r="G120" i="100"/>
  <c r="G142" i="100" s="1"/>
  <c r="G143" i="100" s="1"/>
  <c r="G144" i="100" s="1"/>
  <c r="G154" i="100" s="1"/>
  <c r="H120" i="100"/>
  <c r="H142" i="100" s="1"/>
  <c r="H143" i="100" s="1"/>
  <c r="H144" i="100" s="1"/>
  <c r="I120" i="100"/>
  <c r="E120" i="100"/>
  <c r="L202" i="100"/>
  <c r="N195" i="100" s="1"/>
  <c r="D202" i="100"/>
  <c r="P201" i="100"/>
  <c r="P200" i="100"/>
  <c r="P199" i="100"/>
  <c r="N196" i="100"/>
  <c r="N193" i="100"/>
  <c r="N190" i="100"/>
  <c r="C190" i="100"/>
  <c r="H178" i="100"/>
  <c r="C178" i="100"/>
  <c r="J170" i="100"/>
  <c r="D154" i="100"/>
  <c r="I145" i="100"/>
  <c r="H145" i="100"/>
  <c r="G145" i="100"/>
  <c r="F145" i="100"/>
  <c r="E145" i="100"/>
  <c r="F142" i="100"/>
  <c r="E142" i="100"/>
  <c r="I110" i="100"/>
  <c r="I142" i="100" s="1"/>
  <c r="G95" i="100"/>
  <c r="G90" i="100"/>
  <c r="H90" i="100" s="1"/>
  <c r="J90" i="100" s="1"/>
  <c r="G89" i="100"/>
  <c r="H89" i="100" s="1"/>
  <c r="J89" i="100" s="1"/>
  <c r="G88" i="100"/>
  <c r="H88" i="100" s="1"/>
  <c r="J88" i="100" s="1"/>
  <c r="G87" i="100"/>
  <c r="H87" i="100" s="1"/>
  <c r="J87" i="100" s="1"/>
  <c r="G86" i="100"/>
  <c r="Q77" i="100"/>
  <c r="O70" i="100"/>
  <c r="P70" i="100" s="1"/>
  <c r="G62" i="100"/>
  <c r="H162" i="91"/>
  <c r="Q17" i="99"/>
  <c r="J5" i="99" s="1"/>
  <c r="J10" i="99" s="1"/>
  <c r="K10" i="99" s="1"/>
  <c r="L50" i="99"/>
  <c r="L49" i="99"/>
  <c r="J48" i="99"/>
  <c r="N48" i="99" s="1"/>
  <c r="J49" i="99" s="1"/>
  <c r="N49" i="99" s="1"/>
  <c r="J50" i="99" s="1"/>
  <c r="N50" i="99" s="1"/>
  <c r="N45" i="99"/>
  <c r="B33" i="99"/>
  <c r="L29" i="99"/>
  <c r="J29" i="99"/>
  <c r="K29" i="99" s="1"/>
  <c r="N26" i="99"/>
  <c r="J25" i="99"/>
  <c r="T10" i="99"/>
  <c r="N7" i="99"/>
  <c r="J6" i="99"/>
  <c r="C49" i="97"/>
  <c r="Y49" i="97" s="1"/>
  <c r="J94" i="97"/>
  <c r="G94" i="97"/>
  <c r="H94" i="97" s="1"/>
  <c r="J93" i="97"/>
  <c r="G93" i="97"/>
  <c r="H93" i="97" s="1"/>
  <c r="J92" i="97"/>
  <c r="H92" i="97"/>
  <c r="G92" i="97"/>
  <c r="J91" i="97"/>
  <c r="G91" i="97"/>
  <c r="H91" i="97" s="1"/>
  <c r="H90" i="97"/>
  <c r="J90" i="97" s="1"/>
  <c r="K90" i="97" s="1"/>
  <c r="M90" i="97" s="1"/>
  <c r="G90" i="97"/>
  <c r="F86" i="97"/>
  <c r="F85" i="97"/>
  <c r="F84" i="97"/>
  <c r="F83" i="97"/>
  <c r="H74" i="97"/>
  <c r="H73" i="97"/>
  <c r="H72" i="97"/>
  <c r="D72" i="97"/>
  <c r="H71" i="97"/>
  <c r="S49" i="97"/>
  <c r="O49" i="97"/>
  <c r="M49" i="97"/>
  <c r="I49" i="97"/>
  <c r="H49" i="97"/>
  <c r="AB48" i="97"/>
  <c r="AA48" i="97"/>
  <c r="Z48" i="97"/>
  <c r="Y48" i="97"/>
  <c r="X48" i="97"/>
  <c r="W48" i="97"/>
  <c r="V48" i="97"/>
  <c r="U48" i="97"/>
  <c r="T48" i="97"/>
  <c r="S48" i="97"/>
  <c r="R48" i="97"/>
  <c r="Q48" i="97"/>
  <c r="P48" i="97"/>
  <c r="O48" i="97"/>
  <c r="N48" i="97"/>
  <c r="M48" i="97"/>
  <c r="L48" i="97"/>
  <c r="K48" i="97"/>
  <c r="J48" i="97"/>
  <c r="I48" i="97"/>
  <c r="H48" i="97"/>
  <c r="G48" i="97"/>
  <c r="F48" i="97"/>
  <c r="E48" i="97"/>
  <c r="AB46" i="97"/>
  <c r="AA46" i="97"/>
  <c r="Z46" i="97"/>
  <c r="Y46" i="97"/>
  <c r="X46" i="97"/>
  <c r="W46" i="97"/>
  <c r="V46" i="97"/>
  <c r="U46" i="97"/>
  <c r="T46" i="97"/>
  <c r="S46" i="97"/>
  <c r="R46" i="97"/>
  <c r="Q46" i="97"/>
  <c r="P46" i="97"/>
  <c r="O46" i="97"/>
  <c r="N46" i="97"/>
  <c r="M46" i="97"/>
  <c r="L46" i="97"/>
  <c r="K46" i="97"/>
  <c r="J46" i="97"/>
  <c r="I46" i="97"/>
  <c r="H46" i="97"/>
  <c r="G46" i="97"/>
  <c r="F46" i="97"/>
  <c r="AB45" i="97"/>
  <c r="AA45" i="97"/>
  <c r="Z45" i="97"/>
  <c r="Y45" i="97"/>
  <c r="X45" i="97"/>
  <c r="W45" i="97"/>
  <c r="V45" i="97"/>
  <c r="U45" i="97"/>
  <c r="T45" i="97"/>
  <c r="S45" i="97"/>
  <c r="R45" i="97"/>
  <c r="Q45" i="97"/>
  <c r="P45" i="97"/>
  <c r="O45" i="97"/>
  <c r="N45" i="97"/>
  <c r="M45" i="97"/>
  <c r="L45" i="97"/>
  <c r="K45" i="97"/>
  <c r="J45" i="97"/>
  <c r="I45" i="97"/>
  <c r="H45" i="97"/>
  <c r="G45" i="97"/>
  <c r="F45" i="97"/>
  <c r="E45" i="97"/>
  <c r="AB44" i="97"/>
  <c r="AA44" i="97"/>
  <c r="Z44" i="97"/>
  <c r="Y44" i="97"/>
  <c r="X44" i="97"/>
  <c r="W44" i="97"/>
  <c r="V44" i="97"/>
  <c r="U44" i="97"/>
  <c r="T44" i="97"/>
  <c r="S44" i="97"/>
  <c r="R44" i="97"/>
  <c r="Q44" i="97"/>
  <c r="P44" i="97"/>
  <c r="O44" i="97"/>
  <c r="N44" i="97"/>
  <c r="M44" i="97"/>
  <c r="L44" i="97"/>
  <c r="K44" i="97"/>
  <c r="J44" i="97"/>
  <c r="I44" i="97"/>
  <c r="H44" i="97"/>
  <c r="G44" i="97"/>
  <c r="F44" i="97"/>
  <c r="E44" i="97"/>
  <c r="V43" i="97"/>
  <c r="T43" i="97"/>
  <c r="K43" i="97"/>
  <c r="J43" i="97"/>
  <c r="C43" i="97"/>
  <c r="X42" i="97"/>
  <c r="M42" i="97"/>
  <c r="C42" i="97"/>
  <c r="AB38" i="97"/>
  <c r="Y38" i="97"/>
  <c r="V38" i="97"/>
  <c r="R38" i="97"/>
  <c r="Q38" i="97"/>
  <c r="M38" i="97"/>
  <c r="I38" i="97"/>
  <c r="Y37" i="97"/>
  <c r="R37" i="97"/>
  <c r="Q37" i="97"/>
  <c r="M37" i="97"/>
  <c r="I37" i="97"/>
  <c r="F37" i="97"/>
  <c r="Y36" i="97"/>
  <c r="U36" i="97"/>
  <c r="Q36" i="97"/>
  <c r="N36" i="97"/>
  <c r="J36" i="97"/>
  <c r="I36" i="97"/>
  <c r="Z35" i="97"/>
  <c r="V35" i="97"/>
  <c r="U35" i="97"/>
  <c r="Q35" i="97"/>
  <c r="M35" i="97"/>
  <c r="J35" i="97"/>
  <c r="F35" i="97"/>
  <c r="E35" i="97"/>
  <c r="Y34" i="97"/>
  <c r="U34" i="97"/>
  <c r="T34" i="97"/>
  <c r="N34" i="97"/>
  <c r="M34" i="97"/>
  <c r="I34" i="97"/>
  <c r="Y33" i="97"/>
  <c r="U33" i="97"/>
  <c r="Q33" i="97"/>
  <c r="I33" i="97"/>
  <c r="E33" i="97"/>
  <c r="AB30" i="97"/>
  <c r="Y30" i="97"/>
  <c r="X30" i="97"/>
  <c r="W30" i="97"/>
  <c r="T30" i="97"/>
  <c r="S30" i="97"/>
  <c r="Q30" i="97"/>
  <c r="O30" i="97"/>
  <c r="M30" i="97"/>
  <c r="L30" i="97"/>
  <c r="I30" i="97"/>
  <c r="H30" i="97"/>
  <c r="G30" i="97"/>
  <c r="Y29" i="97"/>
  <c r="U29" i="97"/>
  <c r="T29" i="97"/>
  <c r="Q29" i="97"/>
  <c r="L29" i="97"/>
  <c r="I29" i="97"/>
  <c r="E29" i="97"/>
  <c r="Y28" i="97"/>
  <c r="R28" i="97"/>
  <c r="P28" i="97"/>
  <c r="N28" i="97"/>
  <c r="F28" i="97"/>
  <c r="Z27" i="97"/>
  <c r="X27" i="97"/>
  <c r="V27" i="97"/>
  <c r="N27" i="97"/>
  <c r="J27" i="97"/>
  <c r="H27" i="97"/>
  <c r="F27" i="97"/>
  <c r="AB24" i="97"/>
  <c r="AA24" i="97"/>
  <c r="Z24" i="97"/>
  <c r="Y24" i="97"/>
  <c r="Y35" i="97" s="1"/>
  <c r="X24" i="97"/>
  <c r="W24" i="97"/>
  <c r="V24" i="97"/>
  <c r="U24" i="97"/>
  <c r="U38" i="97" s="1"/>
  <c r="T24" i="97"/>
  <c r="S24" i="97"/>
  <c r="R24" i="97"/>
  <c r="Q24" i="97"/>
  <c r="Q34" i="97" s="1"/>
  <c r="P24" i="97"/>
  <c r="O24" i="97"/>
  <c r="N24" i="97"/>
  <c r="M24" i="97"/>
  <c r="M36" i="97" s="1"/>
  <c r="L24" i="97"/>
  <c r="K24" i="97"/>
  <c r="J24" i="97"/>
  <c r="I24" i="97"/>
  <c r="I35" i="97" s="1"/>
  <c r="H24" i="97"/>
  <c r="G24" i="97"/>
  <c r="F24" i="97"/>
  <c r="E24" i="97"/>
  <c r="N13" i="97"/>
  <c r="N16" i="97" s="1"/>
  <c r="C13" i="97"/>
  <c r="Y12" i="97"/>
  <c r="N12" i="97"/>
  <c r="J12" i="97"/>
  <c r="N11" i="97"/>
  <c r="L11" i="97"/>
  <c r="J11" i="97"/>
  <c r="H11" i="97"/>
  <c r="G11" i="97"/>
  <c r="Y10" i="97"/>
  <c r="X10" i="97"/>
  <c r="T10" i="97"/>
  <c r="P10" i="97"/>
  <c r="N10" i="97"/>
  <c r="J10" i="97"/>
  <c r="H10" i="97"/>
  <c r="F10" i="97"/>
  <c r="Y9" i="97"/>
  <c r="Y13" i="97" s="1"/>
  <c r="T9" i="97"/>
  <c r="P9" i="97"/>
  <c r="O9" i="97"/>
  <c r="L9" i="97"/>
  <c r="K9" i="97"/>
  <c r="AB7" i="97"/>
  <c r="AB12" i="97" s="1"/>
  <c r="Y7" i="97"/>
  <c r="Y11" i="97" s="1"/>
  <c r="X7" i="97"/>
  <c r="X12" i="97" s="1"/>
  <c r="W7" i="97"/>
  <c r="W10" i="97" s="1"/>
  <c r="T7" i="97"/>
  <c r="T12" i="97" s="1"/>
  <c r="S7" i="97"/>
  <c r="S10" i="97" s="1"/>
  <c r="Q7" i="97"/>
  <c r="Q11" i="97" s="1"/>
  <c r="P7" i="97"/>
  <c r="P12" i="97" s="1"/>
  <c r="O7" i="97"/>
  <c r="O10" i="97" s="1"/>
  <c r="N7" i="97"/>
  <c r="N9" i="97" s="1"/>
  <c r="M7" i="97"/>
  <c r="M11" i="97" s="1"/>
  <c r="L7" i="97"/>
  <c r="L12" i="97" s="1"/>
  <c r="K7" i="97"/>
  <c r="K10" i="97" s="1"/>
  <c r="J7" i="97"/>
  <c r="J9" i="97" s="1"/>
  <c r="J13" i="97" s="1"/>
  <c r="I7" i="97"/>
  <c r="I11" i="97" s="1"/>
  <c r="H7" i="97"/>
  <c r="H12" i="97" s="1"/>
  <c r="G7" i="97"/>
  <c r="G10" i="97" s="1"/>
  <c r="F7" i="97"/>
  <c r="F9" i="97" s="1"/>
  <c r="F13" i="97" s="1"/>
  <c r="E7" i="97"/>
  <c r="E9" i="97" s="1"/>
  <c r="E13" i="97" s="1"/>
  <c r="E17" i="97" s="1"/>
  <c r="E22" i="97" s="1"/>
  <c r="R3" i="97"/>
  <c r="F132" i="96"/>
  <c r="G132" i="96"/>
  <c r="H132" i="96"/>
  <c r="F131" i="96"/>
  <c r="G131" i="96"/>
  <c r="H131" i="96"/>
  <c r="I131" i="96"/>
  <c r="I109" i="96" s="1"/>
  <c r="E132" i="96"/>
  <c r="E131" i="96"/>
  <c r="D155" i="96"/>
  <c r="F137" i="96" s="1"/>
  <c r="L206" i="96"/>
  <c r="N199" i="96" s="1"/>
  <c r="D206" i="96"/>
  <c r="P205" i="96"/>
  <c r="P204" i="96"/>
  <c r="P203" i="96"/>
  <c r="N200" i="96"/>
  <c r="O200" i="96" s="1"/>
  <c r="N197" i="96"/>
  <c r="N196" i="96"/>
  <c r="N194" i="96"/>
  <c r="O194" i="96" s="1"/>
  <c r="N193" i="96"/>
  <c r="C193" i="96"/>
  <c r="F185" i="96"/>
  <c r="H182" i="96"/>
  <c r="C182" i="96"/>
  <c r="C180" i="96"/>
  <c r="J174" i="96"/>
  <c r="I157" i="96"/>
  <c r="D156" i="96"/>
  <c r="D154" i="96"/>
  <c r="G138" i="96"/>
  <c r="F138" i="96"/>
  <c r="E138" i="96"/>
  <c r="G137" i="96"/>
  <c r="I126" i="96"/>
  <c r="H126" i="96"/>
  <c r="G126" i="96"/>
  <c r="F126" i="96"/>
  <c r="E126" i="96"/>
  <c r="I125" i="96"/>
  <c r="H125" i="96"/>
  <c r="N115" i="96"/>
  <c r="I114" i="96"/>
  <c r="I113" i="96"/>
  <c r="N111" i="96"/>
  <c r="N110" i="96"/>
  <c r="E101" i="96" s="1"/>
  <c r="E103" i="96" s="1"/>
  <c r="L109" i="96"/>
  <c r="N116" i="96" s="1"/>
  <c r="E106" i="96"/>
  <c r="E124" i="96" s="1"/>
  <c r="F103" i="96"/>
  <c r="G103" i="96" s="1"/>
  <c r="H103" i="96" s="1"/>
  <c r="I103" i="96" s="1"/>
  <c r="H90" i="96"/>
  <c r="J90" i="96" s="1"/>
  <c r="G90" i="96"/>
  <c r="G89" i="96"/>
  <c r="H89" i="96" s="1"/>
  <c r="J89" i="96" s="1"/>
  <c r="G88" i="96"/>
  <c r="H88" i="96" s="1"/>
  <c r="J88" i="96" s="1"/>
  <c r="G87" i="96"/>
  <c r="H87" i="96" s="1"/>
  <c r="J87" i="96" s="1"/>
  <c r="G86" i="96"/>
  <c r="H86" i="96" s="1"/>
  <c r="J86" i="96" s="1"/>
  <c r="K86" i="96" s="1"/>
  <c r="N82" i="96"/>
  <c r="N80" i="96"/>
  <c r="N78" i="96"/>
  <c r="Q77" i="96"/>
  <c r="O70" i="96"/>
  <c r="P70" i="96" s="1"/>
  <c r="N81" i="96" s="1"/>
  <c r="G62" i="96"/>
  <c r="I55" i="96"/>
  <c r="G55" i="96"/>
  <c r="H55" i="96" s="1"/>
  <c r="G49" i="96"/>
  <c r="J5" i="95"/>
  <c r="L50" i="95"/>
  <c r="L49" i="95"/>
  <c r="J48" i="95"/>
  <c r="N48" i="95" s="1"/>
  <c r="J49" i="95" s="1"/>
  <c r="N49" i="95" s="1"/>
  <c r="J50" i="95" s="1"/>
  <c r="N50" i="95" s="1"/>
  <c r="N45" i="95"/>
  <c r="B33" i="95"/>
  <c r="L29" i="95"/>
  <c r="L30" i="95" s="1"/>
  <c r="L31" i="95" s="1"/>
  <c r="L32" i="95" s="1"/>
  <c r="L33" i="95" s="1"/>
  <c r="L34" i="95" s="1"/>
  <c r="L35" i="95" s="1"/>
  <c r="L36" i="95" s="1"/>
  <c r="L37" i="95" s="1"/>
  <c r="L38" i="95" s="1"/>
  <c r="J29" i="95"/>
  <c r="K29" i="95" s="1"/>
  <c r="N26" i="95"/>
  <c r="J25" i="95"/>
  <c r="T10" i="95"/>
  <c r="J10" i="95"/>
  <c r="N7" i="95"/>
  <c r="J6" i="95" s="1"/>
  <c r="C180" i="91"/>
  <c r="I157" i="91"/>
  <c r="D74" i="94"/>
  <c r="D73" i="94"/>
  <c r="D72" i="94"/>
  <c r="D71" i="94"/>
  <c r="D70" i="94"/>
  <c r="E69" i="94"/>
  <c r="F24" i="94"/>
  <c r="F55" i="94" s="1"/>
  <c r="G55" i="94" s="1"/>
  <c r="F23" i="94"/>
  <c r="F54" i="94" s="1"/>
  <c r="G54" i="94" s="1"/>
  <c r="F22" i="94"/>
  <c r="F53" i="94" s="1"/>
  <c r="G53" i="94" s="1"/>
  <c r="F21" i="94"/>
  <c r="F20" i="94"/>
  <c r="F51" i="94" s="1"/>
  <c r="G51" i="94" s="1"/>
  <c r="H51" i="94" s="1"/>
  <c r="I51" i="94" s="1"/>
  <c r="J51" i="94" s="1"/>
  <c r="K51" i="94" s="1"/>
  <c r="L51" i="94" s="1"/>
  <c r="M51" i="94" s="1"/>
  <c r="N51" i="94" s="1"/>
  <c r="F19" i="94"/>
  <c r="F18" i="94"/>
  <c r="F49" i="94" s="1"/>
  <c r="F17" i="94"/>
  <c r="F16" i="94"/>
  <c r="G47" i="94" s="1"/>
  <c r="G15" i="94"/>
  <c r="H15" i="94" s="1"/>
  <c r="I15" i="94" s="1"/>
  <c r="J15" i="94" s="1"/>
  <c r="K15" i="94" s="1"/>
  <c r="L15" i="94" s="1"/>
  <c r="M15" i="94" s="1"/>
  <c r="N15" i="94" s="1"/>
  <c r="E9" i="94"/>
  <c r="F11" i="94" s="1"/>
  <c r="G11" i="94" s="1"/>
  <c r="H11" i="94" s="1"/>
  <c r="I11" i="94" s="1"/>
  <c r="J11" i="94" s="1"/>
  <c r="K11" i="94" s="1"/>
  <c r="L11" i="94" s="1"/>
  <c r="M11" i="94" s="1"/>
  <c r="N11" i="94" s="1"/>
  <c r="E7" i="94"/>
  <c r="F7" i="94" s="1"/>
  <c r="G7" i="94" s="1"/>
  <c r="H7" i="94" s="1"/>
  <c r="I7" i="94" s="1"/>
  <c r="J7" i="94" s="1"/>
  <c r="K7" i="94" s="1"/>
  <c r="L7" i="94" s="1"/>
  <c r="M7" i="94" s="1"/>
  <c r="N7" i="94" s="1"/>
  <c r="F124" i="91"/>
  <c r="G124" i="91"/>
  <c r="H124" i="91"/>
  <c r="I124" i="91"/>
  <c r="E124" i="91"/>
  <c r="F108" i="91"/>
  <c r="F106" i="91"/>
  <c r="G106" i="91"/>
  <c r="H106" i="91"/>
  <c r="I106" i="91"/>
  <c r="E106" i="91"/>
  <c r="D155" i="91"/>
  <c r="G137" i="91" s="1"/>
  <c r="F185" i="91"/>
  <c r="C182" i="91" s="1"/>
  <c r="I112" i="91"/>
  <c r="D156" i="91"/>
  <c r="F138" i="91" s="1"/>
  <c r="D154" i="91"/>
  <c r="I136" i="91" s="1"/>
  <c r="I141" i="91" s="1"/>
  <c r="F132" i="91"/>
  <c r="G132" i="91"/>
  <c r="H132" i="91"/>
  <c r="F131" i="91"/>
  <c r="G131" i="91"/>
  <c r="H131" i="91"/>
  <c r="I131" i="91"/>
  <c r="I109" i="91" s="1"/>
  <c r="E132" i="91"/>
  <c r="E131" i="91"/>
  <c r="S36" i="55"/>
  <c r="S37" i="55" s="1"/>
  <c r="P33" i="55"/>
  <c r="E98" i="81"/>
  <c r="E97" i="81"/>
  <c r="E98" i="71"/>
  <c r="E97" i="71"/>
  <c r="L109" i="91"/>
  <c r="N112" i="91" s="1"/>
  <c r="G55" i="91"/>
  <c r="H55" i="91" s="1"/>
  <c r="I55" i="91" s="1"/>
  <c r="G49" i="91"/>
  <c r="F126" i="91"/>
  <c r="G126" i="91"/>
  <c r="H126" i="91"/>
  <c r="I126" i="91"/>
  <c r="E126" i="91"/>
  <c r="I125" i="91"/>
  <c r="H125" i="91"/>
  <c r="L206" i="91"/>
  <c r="N199" i="91" s="1"/>
  <c r="D206" i="91"/>
  <c r="P205" i="91"/>
  <c r="P204" i="91"/>
  <c r="P203" i="91"/>
  <c r="N200" i="91"/>
  <c r="N197" i="91"/>
  <c r="N194" i="91"/>
  <c r="C193" i="91"/>
  <c r="H182" i="91"/>
  <c r="J174" i="91"/>
  <c r="G90" i="91"/>
  <c r="H90" i="91" s="1"/>
  <c r="J90" i="91" s="1"/>
  <c r="G89" i="91"/>
  <c r="H89" i="91" s="1"/>
  <c r="J89" i="91" s="1"/>
  <c r="G88" i="91"/>
  <c r="H88" i="91" s="1"/>
  <c r="J88" i="91" s="1"/>
  <c r="G87" i="91"/>
  <c r="H87" i="91" s="1"/>
  <c r="J87" i="91" s="1"/>
  <c r="G86" i="91"/>
  <c r="H86" i="91" s="1"/>
  <c r="J86" i="91" s="1"/>
  <c r="Q77" i="91"/>
  <c r="O70" i="91"/>
  <c r="P70" i="91" s="1"/>
  <c r="G62" i="91"/>
  <c r="J166" i="90"/>
  <c r="J165" i="90"/>
  <c r="J164" i="90"/>
  <c r="C181" i="90"/>
  <c r="C176" i="90"/>
  <c r="C174" i="90"/>
  <c r="L200" i="90"/>
  <c r="N193" i="90" s="1"/>
  <c r="D200" i="90"/>
  <c r="P199" i="90"/>
  <c r="P198" i="90"/>
  <c r="P197" i="90"/>
  <c r="P200" i="90" s="1"/>
  <c r="N194" i="90"/>
  <c r="N191" i="90"/>
  <c r="O191" i="90" s="1"/>
  <c r="N190" i="90"/>
  <c r="N188" i="90"/>
  <c r="O188" i="90" s="1"/>
  <c r="N187" i="90"/>
  <c r="C185" i="90"/>
  <c r="H176" i="90"/>
  <c r="D152" i="90"/>
  <c r="I151" i="90"/>
  <c r="D148" i="90"/>
  <c r="F132" i="90" s="1"/>
  <c r="D146" i="90"/>
  <c r="Q77" i="90" s="1"/>
  <c r="E143" i="90"/>
  <c r="I138" i="90"/>
  <c r="I143" i="90" s="1"/>
  <c r="I133" i="90"/>
  <c r="H133" i="90"/>
  <c r="G133" i="90"/>
  <c r="E132" i="90"/>
  <c r="I131" i="90"/>
  <c r="H131" i="90"/>
  <c r="H143" i="90" s="1"/>
  <c r="F131" i="90"/>
  <c r="E131" i="90"/>
  <c r="I123" i="90"/>
  <c r="H123" i="90"/>
  <c r="G123" i="90"/>
  <c r="F123" i="90"/>
  <c r="E123" i="90"/>
  <c r="I122" i="90"/>
  <c r="H122" i="90"/>
  <c r="G122" i="90"/>
  <c r="F122" i="90"/>
  <c r="E122" i="90"/>
  <c r="I116" i="90"/>
  <c r="H116" i="90"/>
  <c r="G116" i="90"/>
  <c r="F116" i="90"/>
  <c r="E116" i="90"/>
  <c r="I115" i="90"/>
  <c r="H115" i="90"/>
  <c r="G115" i="90"/>
  <c r="F115" i="90"/>
  <c r="E115" i="90"/>
  <c r="I110" i="90"/>
  <c r="I105" i="90"/>
  <c r="H105" i="90"/>
  <c r="G105" i="90"/>
  <c r="F105" i="90"/>
  <c r="E105" i="90"/>
  <c r="I104" i="90"/>
  <c r="H104" i="90"/>
  <c r="H124" i="90" s="1"/>
  <c r="G104" i="90"/>
  <c r="F104" i="90"/>
  <c r="E104" i="90"/>
  <c r="G95" i="90"/>
  <c r="H90" i="90"/>
  <c r="J90" i="90" s="1"/>
  <c r="G90" i="90"/>
  <c r="C90" i="90"/>
  <c r="H89" i="90"/>
  <c r="J89" i="90" s="1"/>
  <c r="G89" i="90"/>
  <c r="G88" i="90"/>
  <c r="H88" i="90" s="1"/>
  <c r="J88" i="90" s="1"/>
  <c r="G87" i="90"/>
  <c r="H87" i="90" s="1"/>
  <c r="J87" i="90" s="1"/>
  <c r="G86" i="90"/>
  <c r="H86" i="90" s="1"/>
  <c r="J86" i="90" s="1"/>
  <c r="C86" i="90"/>
  <c r="E79" i="90"/>
  <c r="E78" i="90"/>
  <c r="O70" i="90"/>
  <c r="P70" i="90" s="1"/>
  <c r="G62" i="90"/>
  <c r="F152" i="72"/>
  <c r="G152" i="72"/>
  <c r="H152" i="72"/>
  <c r="I152" i="72"/>
  <c r="E152" i="72"/>
  <c r="F152" i="88"/>
  <c r="G152" i="88"/>
  <c r="H152" i="88"/>
  <c r="I152" i="88"/>
  <c r="E152" i="88"/>
  <c r="I151" i="88"/>
  <c r="I151" i="72"/>
  <c r="F142" i="88"/>
  <c r="G142" i="88"/>
  <c r="H142" i="88"/>
  <c r="I142" i="88"/>
  <c r="F143" i="88"/>
  <c r="G143" i="88"/>
  <c r="H143" i="88"/>
  <c r="I143" i="88"/>
  <c r="E143" i="88"/>
  <c r="E142" i="88"/>
  <c r="L200" i="88"/>
  <c r="N193" i="88" s="1"/>
  <c r="D200" i="88"/>
  <c r="P199" i="88"/>
  <c r="P198" i="88"/>
  <c r="P197" i="88"/>
  <c r="P200" i="88" s="1"/>
  <c r="C181" i="88" s="1"/>
  <c r="C174" i="88" s="1"/>
  <c r="N194" i="88"/>
  <c r="N191" i="88"/>
  <c r="O191" i="88" s="1"/>
  <c r="N190" i="88"/>
  <c r="N188" i="88"/>
  <c r="O188" i="88" s="1"/>
  <c r="N187" i="88"/>
  <c r="C185" i="88"/>
  <c r="H176" i="88"/>
  <c r="C176" i="88"/>
  <c r="J168" i="88"/>
  <c r="D152" i="88"/>
  <c r="D148" i="88"/>
  <c r="I133" i="88"/>
  <c r="H133" i="88"/>
  <c r="G133" i="88"/>
  <c r="I138" i="88" s="1"/>
  <c r="F132" i="88"/>
  <c r="F135" i="88" s="1"/>
  <c r="E132" i="88"/>
  <c r="I131" i="88"/>
  <c r="H131" i="88"/>
  <c r="G131" i="88"/>
  <c r="F131" i="88"/>
  <c r="E131" i="88"/>
  <c r="I123" i="88"/>
  <c r="H123" i="88"/>
  <c r="G123" i="88"/>
  <c r="F123" i="88"/>
  <c r="E123" i="88"/>
  <c r="I122" i="88"/>
  <c r="H122" i="88"/>
  <c r="G122" i="88"/>
  <c r="F122" i="88"/>
  <c r="E122" i="88"/>
  <c r="I116" i="88"/>
  <c r="H116" i="88"/>
  <c r="G116" i="88"/>
  <c r="F116" i="88"/>
  <c r="E116" i="88"/>
  <c r="I115" i="88"/>
  <c r="H115" i="88"/>
  <c r="G115" i="88"/>
  <c r="F115" i="88"/>
  <c r="E115" i="88"/>
  <c r="I110" i="88"/>
  <c r="I105" i="88"/>
  <c r="H105" i="88"/>
  <c r="G105" i="88"/>
  <c r="F105" i="88"/>
  <c r="E105" i="88"/>
  <c r="I104" i="88"/>
  <c r="I124" i="88" s="1"/>
  <c r="H104" i="88"/>
  <c r="G104" i="88"/>
  <c r="F104" i="88"/>
  <c r="E104" i="88"/>
  <c r="E124" i="88" s="1"/>
  <c r="G95" i="88"/>
  <c r="G90" i="88"/>
  <c r="C90" i="88"/>
  <c r="H90" i="88" s="1"/>
  <c r="J90" i="88" s="1"/>
  <c r="G89" i="88"/>
  <c r="H89" i="88" s="1"/>
  <c r="J89" i="88" s="1"/>
  <c r="H88" i="88"/>
  <c r="J88" i="88" s="1"/>
  <c r="G88" i="88"/>
  <c r="G87" i="88"/>
  <c r="H87" i="88" s="1"/>
  <c r="J87" i="88" s="1"/>
  <c r="H86" i="88"/>
  <c r="J86" i="88" s="1"/>
  <c r="G86" i="88"/>
  <c r="C86" i="88"/>
  <c r="E79" i="88"/>
  <c r="E78" i="88"/>
  <c r="Q77" i="88"/>
  <c r="O70" i="88"/>
  <c r="P70" i="88" s="1"/>
  <c r="G64" i="88"/>
  <c r="K64" i="88" s="1"/>
  <c r="G63" i="88"/>
  <c r="J64" i="88" s="1"/>
  <c r="G62" i="88"/>
  <c r="G65" i="88" s="1"/>
  <c r="L64" i="88" s="1"/>
  <c r="L65" i="88" s="1"/>
  <c r="L66" i="88" s="1"/>
  <c r="G51" i="87"/>
  <c r="H51" i="87"/>
  <c r="I51" i="87"/>
  <c r="J51" i="87"/>
  <c r="K51" i="87"/>
  <c r="L51" i="87"/>
  <c r="M51" i="87"/>
  <c r="N51" i="87"/>
  <c r="O51" i="87"/>
  <c r="P51" i="87"/>
  <c r="Q51" i="87"/>
  <c r="R51" i="87"/>
  <c r="S51" i="87"/>
  <c r="T51" i="87"/>
  <c r="U51" i="87"/>
  <c r="V51" i="87"/>
  <c r="W51" i="87"/>
  <c r="X51" i="87"/>
  <c r="Y51" i="87"/>
  <c r="Z51" i="87"/>
  <c r="AA51" i="87"/>
  <c r="AB51" i="87"/>
  <c r="F51" i="87"/>
  <c r="E50" i="87"/>
  <c r="E49" i="87"/>
  <c r="AA50" i="87"/>
  <c r="AA49" i="87"/>
  <c r="F54" i="87"/>
  <c r="C54" i="87"/>
  <c r="I55" i="87" s="1"/>
  <c r="F55" i="87"/>
  <c r="C55" i="87"/>
  <c r="G55" i="87"/>
  <c r="H55" i="87"/>
  <c r="K55" i="87"/>
  <c r="L55" i="87"/>
  <c r="M55" i="87"/>
  <c r="N55" i="87"/>
  <c r="O55" i="87"/>
  <c r="P55" i="87"/>
  <c r="Q55" i="87"/>
  <c r="R55" i="87"/>
  <c r="S55" i="87"/>
  <c r="T55" i="87"/>
  <c r="U55" i="87"/>
  <c r="V55" i="87"/>
  <c r="W55" i="87"/>
  <c r="X55" i="87"/>
  <c r="Y55" i="87"/>
  <c r="Z55" i="87"/>
  <c r="AA55" i="87"/>
  <c r="AB55" i="87"/>
  <c r="E38" i="87"/>
  <c r="F38" i="87"/>
  <c r="G38" i="87"/>
  <c r="H38" i="87"/>
  <c r="I38" i="87"/>
  <c r="J38" i="87"/>
  <c r="K38" i="87"/>
  <c r="L38" i="87"/>
  <c r="M38" i="87"/>
  <c r="N38" i="87"/>
  <c r="O38" i="87"/>
  <c r="P38" i="87"/>
  <c r="Q38" i="87"/>
  <c r="R38" i="87"/>
  <c r="S38" i="87"/>
  <c r="T38" i="87"/>
  <c r="U38" i="87"/>
  <c r="V38" i="87"/>
  <c r="W38" i="87"/>
  <c r="X38" i="87"/>
  <c r="Y38" i="87"/>
  <c r="Z38" i="87"/>
  <c r="AA38" i="87"/>
  <c r="AB38" i="87"/>
  <c r="F18" i="87"/>
  <c r="G18" i="87"/>
  <c r="H18" i="87"/>
  <c r="I18" i="87"/>
  <c r="J18" i="87"/>
  <c r="K18" i="87"/>
  <c r="L18" i="87"/>
  <c r="M18" i="87"/>
  <c r="N18" i="87"/>
  <c r="O18" i="87"/>
  <c r="P18" i="87"/>
  <c r="Q18" i="87"/>
  <c r="R18" i="87"/>
  <c r="S18" i="87"/>
  <c r="T18" i="87"/>
  <c r="U18" i="87"/>
  <c r="V18" i="87"/>
  <c r="W18" i="87"/>
  <c r="X18" i="87"/>
  <c r="Y18" i="87"/>
  <c r="Z18" i="87"/>
  <c r="AA18" i="87"/>
  <c r="AB18" i="87"/>
  <c r="E18" i="87"/>
  <c r="G2" i="87"/>
  <c r="H16" i="87"/>
  <c r="I16" i="87"/>
  <c r="J16" i="87"/>
  <c r="K16" i="87"/>
  <c r="L16" i="87"/>
  <c r="M16" i="87"/>
  <c r="N16" i="87"/>
  <c r="O16" i="87"/>
  <c r="P16" i="87"/>
  <c r="Q16" i="87"/>
  <c r="R16" i="87"/>
  <c r="S16" i="87"/>
  <c r="T16" i="87"/>
  <c r="U16" i="87"/>
  <c r="V16" i="87"/>
  <c r="W16" i="87"/>
  <c r="X16" i="87"/>
  <c r="Y16" i="87"/>
  <c r="Z16" i="87"/>
  <c r="AA16" i="87"/>
  <c r="AB16" i="87"/>
  <c r="G16" i="87"/>
  <c r="G15" i="87"/>
  <c r="H15" i="87"/>
  <c r="I15" i="87"/>
  <c r="J15" i="87"/>
  <c r="K15" i="87"/>
  <c r="L15" i="87"/>
  <c r="M15" i="87"/>
  <c r="N15" i="87"/>
  <c r="O15" i="87"/>
  <c r="P15" i="87"/>
  <c r="Q15" i="87"/>
  <c r="R15" i="87"/>
  <c r="S15" i="87"/>
  <c r="T15" i="87"/>
  <c r="U15" i="87"/>
  <c r="V15" i="87"/>
  <c r="W15" i="87"/>
  <c r="X15" i="87"/>
  <c r="Y15" i="87"/>
  <c r="Z15" i="87"/>
  <c r="AA15" i="87"/>
  <c r="AB15" i="87"/>
  <c r="F15" i="87"/>
  <c r="F14" i="87"/>
  <c r="G14" i="87"/>
  <c r="H14" i="87"/>
  <c r="I14" i="87"/>
  <c r="J14" i="87"/>
  <c r="K14" i="87"/>
  <c r="L14" i="87"/>
  <c r="M14" i="87"/>
  <c r="N14" i="87"/>
  <c r="O14" i="87"/>
  <c r="P14" i="87"/>
  <c r="Q14" i="87"/>
  <c r="R14" i="87"/>
  <c r="S14" i="87"/>
  <c r="T14" i="87"/>
  <c r="U14" i="87"/>
  <c r="V14" i="87"/>
  <c r="W14" i="87"/>
  <c r="X14" i="87"/>
  <c r="Y14" i="87"/>
  <c r="Z14" i="87"/>
  <c r="AA14" i="87"/>
  <c r="AB14" i="87"/>
  <c r="E14" i="87"/>
  <c r="H13" i="87"/>
  <c r="I13" i="87"/>
  <c r="J13" i="87"/>
  <c r="K13" i="87"/>
  <c r="L13" i="87"/>
  <c r="M13" i="87"/>
  <c r="N13" i="87"/>
  <c r="O13" i="87"/>
  <c r="P13" i="87"/>
  <c r="Q13" i="87"/>
  <c r="R13" i="87"/>
  <c r="S13" i="87"/>
  <c r="T13" i="87"/>
  <c r="U13" i="87"/>
  <c r="V13" i="87"/>
  <c r="W13" i="87"/>
  <c r="X13" i="87"/>
  <c r="Y13" i="87"/>
  <c r="Z13" i="87"/>
  <c r="AA13" i="87"/>
  <c r="AB13" i="87"/>
  <c r="G12" i="87"/>
  <c r="H12" i="87"/>
  <c r="I12" i="87"/>
  <c r="J12" i="87"/>
  <c r="K12" i="87"/>
  <c r="L12" i="87"/>
  <c r="M12" i="87"/>
  <c r="N12" i="87"/>
  <c r="O12" i="87"/>
  <c r="P12" i="87"/>
  <c r="Q12" i="87"/>
  <c r="R12" i="87"/>
  <c r="S12" i="87"/>
  <c r="T12" i="87"/>
  <c r="U12" i="87"/>
  <c r="V12" i="87"/>
  <c r="W12" i="87"/>
  <c r="X12" i="87"/>
  <c r="Y12" i="87"/>
  <c r="Z12" i="87"/>
  <c r="AA12" i="87"/>
  <c r="AB12" i="87"/>
  <c r="F12" i="87"/>
  <c r="G13" i="87"/>
  <c r="F8" i="87"/>
  <c r="G8" i="87"/>
  <c r="H8" i="87"/>
  <c r="I8" i="87"/>
  <c r="J8" i="87"/>
  <c r="K8" i="87"/>
  <c r="L8" i="87"/>
  <c r="M8" i="87"/>
  <c r="N8" i="87"/>
  <c r="O8" i="87"/>
  <c r="P8" i="87"/>
  <c r="Q8" i="87"/>
  <c r="R8" i="87"/>
  <c r="S8" i="87"/>
  <c r="T8" i="87"/>
  <c r="U8" i="87"/>
  <c r="V8" i="87"/>
  <c r="W8" i="87"/>
  <c r="X8" i="87"/>
  <c r="Y8" i="87"/>
  <c r="Z8" i="87"/>
  <c r="AA8" i="87"/>
  <c r="AB8" i="87"/>
  <c r="E8" i="87"/>
  <c r="F11" i="87"/>
  <c r="G11" i="87"/>
  <c r="H11" i="87"/>
  <c r="I11" i="87"/>
  <c r="J11" i="87"/>
  <c r="K11" i="87"/>
  <c r="L11" i="87"/>
  <c r="M11" i="87"/>
  <c r="N11" i="87"/>
  <c r="O11" i="87"/>
  <c r="P11" i="87"/>
  <c r="Q11" i="87"/>
  <c r="R11" i="87"/>
  <c r="S11" i="87"/>
  <c r="T11" i="87"/>
  <c r="U11" i="87"/>
  <c r="V11" i="87"/>
  <c r="W11" i="87"/>
  <c r="X11" i="87"/>
  <c r="Y11" i="87"/>
  <c r="Z11" i="87"/>
  <c r="AA11" i="87"/>
  <c r="AB11" i="87"/>
  <c r="E11" i="87"/>
  <c r="C8" i="87"/>
  <c r="C7" i="87"/>
  <c r="E7" i="87" s="1"/>
  <c r="C10" i="87"/>
  <c r="C9" i="87"/>
  <c r="J99" i="87"/>
  <c r="G99" i="87"/>
  <c r="H99" i="87" s="1"/>
  <c r="J98" i="87"/>
  <c r="G98" i="87"/>
  <c r="H98" i="87" s="1"/>
  <c r="J97" i="87"/>
  <c r="G97" i="87"/>
  <c r="H97" i="87" s="1"/>
  <c r="J96" i="87"/>
  <c r="G96" i="87"/>
  <c r="H96" i="87" s="1"/>
  <c r="G95" i="87"/>
  <c r="H95" i="87" s="1"/>
  <c r="J95" i="87" s="1"/>
  <c r="F90" i="87"/>
  <c r="F89" i="87"/>
  <c r="F88" i="87"/>
  <c r="H79" i="87"/>
  <c r="H78" i="87"/>
  <c r="H77" i="87"/>
  <c r="D77" i="87"/>
  <c r="H76" i="87"/>
  <c r="AB54" i="87"/>
  <c r="AA54" i="87"/>
  <c r="Z54" i="87"/>
  <c r="Y54" i="87"/>
  <c r="X54" i="87"/>
  <c r="W54" i="87"/>
  <c r="V54" i="87"/>
  <c r="U54" i="87"/>
  <c r="T54" i="87"/>
  <c r="S54" i="87"/>
  <c r="R54" i="87"/>
  <c r="Q54" i="87"/>
  <c r="P54" i="87"/>
  <c r="O54" i="87"/>
  <c r="N54" i="87"/>
  <c r="M54" i="87"/>
  <c r="L54" i="87"/>
  <c r="K54" i="87"/>
  <c r="J54" i="87"/>
  <c r="I54" i="87"/>
  <c r="H54" i="87"/>
  <c r="G54" i="87"/>
  <c r="AB53" i="87"/>
  <c r="AA53" i="87"/>
  <c r="Z53" i="87"/>
  <c r="Y53" i="87"/>
  <c r="X53" i="87"/>
  <c r="W53" i="87"/>
  <c r="V53" i="87"/>
  <c r="U53" i="87"/>
  <c r="T53" i="87"/>
  <c r="S53" i="87"/>
  <c r="R53" i="87"/>
  <c r="Q53" i="87"/>
  <c r="P53" i="87"/>
  <c r="O53" i="87"/>
  <c r="N53" i="87"/>
  <c r="M53" i="87"/>
  <c r="L53" i="87"/>
  <c r="K53" i="87"/>
  <c r="J53" i="87"/>
  <c r="I53" i="87"/>
  <c r="H53" i="87"/>
  <c r="G53" i="87"/>
  <c r="F53" i="87"/>
  <c r="E53" i="87"/>
  <c r="AB50" i="87"/>
  <c r="Y50" i="87"/>
  <c r="X50" i="87"/>
  <c r="U50" i="87"/>
  <c r="T50" i="87"/>
  <c r="Q50" i="87"/>
  <c r="P50" i="87"/>
  <c r="M50" i="87"/>
  <c r="L50" i="87"/>
  <c r="I50" i="87"/>
  <c r="H50" i="87"/>
  <c r="AB49" i="87"/>
  <c r="X49" i="87"/>
  <c r="T49" i="87"/>
  <c r="P49" i="87"/>
  <c r="L49" i="87"/>
  <c r="H49" i="87"/>
  <c r="AB48" i="87"/>
  <c r="AA48" i="87"/>
  <c r="Z48" i="87"/>
  <c r="Y48" i="87"/>
  <c r="X48" i="87"/>
  <c r="W48" i="87"/>
  <c r="V48" i="87"/>
  <c r="U48" i="87"/>
  <c r="T48" i="87"/>
  <c r="S48" i="87"/>
  <c r="R48" i="87"/>
  <c r="Q48" i="87"/>
  <c r="P48" i="87"/>
  <c r="O48" i="87"/>
  <c r="N48" i="87"/>
  <c r="M48" i="87"/>
  <c r="L48" i="87"/>
  <c r="K48" i="87"/>
  <c r="J48" i="87"/>
  <c r="I48" i="87"/>
  <c r="H48" i="87"/>
  <c r="G48" i="87"/>
  <c r="F48" i="87"/>
  <c r="AB47" i="87"/>
  <c r="AA47" i="87"/>
  <c r="Z47" i="87"/>
  <c r="Y47" i="87"/>
  <c r="X47" i="87"/>
  <c r="W47" i="87"/>
  <c r="V47" i="87"/>
  <c r="U47" i="87"/>
  <c r="T47" i="87"/>
  <c r="S47" i="87"/>
  <c r="R47" i="87"/>
  <c r="Q47" i="87"/>
  <c r="P47" i="87"/>
  <c r="O47" i="87"/>
  <c r="N47" i="87"/>
  <c r="M47" i="87"/>
  <c r="L47" i="87"/>
  <c r="K47" i="87"/>
  <c r="J47" i="87"/>
  <c r="I47" i="87"/>
  <c r="H47" i="87"/>
  <c r="G47" i="87"/>
  <c r="F47" i="87"/>
  <c r="AB29" i="87"/>
  <c r="AB41" i="87" s="1"/>
  <c r="AA29" i="87"/>
  <c r="AA43" i="87" s="1"/>
  <c r="Z29" i="87"/>
  <c r="Y29" i="87"/>
  <c r="Y42" i="87" s="1"/>
  <c r="X29" i="87"/>
  <c r="X41" i="87" s="1"/>
  <c r="W29" i="87"/>
  <c r="W40" i="87" s="1"/>
  <c r="V29" i="87"/>
  <c r="V32" i="87" s="1"/>
  <c r="U29" i="87"/>
  <c r="U33" i="87" s="1"/>
  <c r="T29" i="87"/>
  <c r="T41" i="87" s="1"/>
  <c r="S29" i="87"/>
  <c r="S39" i="87" s="1"/>
  <c r="R29" i="87"/>
  <c r="Q29" i="87"/>
  <c r="Q42" i="87" s="1"/>
  <c r="P29" i="87"/>
  <c r="P41" i="87" s="1"/>
  <c r="O29" i="87"/>
  <c r="N29" i="87"/>
  <c r="N33" i="87" s="1"/>
  <c r="M29" i="87"/>
  <c r="L29" i="87"/>
  <c r="L41" i="87" s="1"/>
  <c r="K29" i="87"/>
  <c r="K43" i="87" s="1"/>
  <c r="J29" i="87"/>
  <c r="J39" i="87" s="1"/>
  <c r="I29" i="87"/>
  <c r="I42" i="87" s="1"/>
  <c r="H29" i="87"/>
  <c r="H41" i="87" s="1"/>
  <c r="G29" i="87"/>
  <c r="G40" i="87" s="1"/>
  <c r="F29" i="87"/>
  <c r="F32" i="87" s="1"/>
  <c r="E29" i="87"/>
  <c r="AA35" i="87" s="1"/>
  <c r="C18" i="87"/>
  <c r="AB7" i="87"/>
  <c r="AB17" i="87" s="1"/>
  <c r="AA7" i="87"/>
  <c r="Z7" i="87"/>
  <c r="Z17" i="87" s="1"/>
  <c r="Y7" i="87"/>
  <c r="X7" i="87"/>
  <c r="X17" i="87" s="1"/>
  <c r="W7" i="87"/>
  <c r="V7" i="87"/>
  <c r="V17" i="87" s="1"/>
  <c r="U7" i="87"/>
  <c r="U17" i="87" s="1"/>
  <c r="T7" i="87"/>
  <c r="T17" i="87" s="1"/>
  <c r="S7" i="87"/>
  <c r="R7" i="87"/>
  <c r="R17" i="87" s="1"/>
  <c r="Q7" i="87"/>
  <c r="P7" i="87"/>
  <c r="O7" i="87"/>
  <c r="N7" i="87"/>
  <c r="N17" i="87" s="1"/>
  <c r="M7" i="87"/>
  <c r="M17" i="87" s="1"/>
  <c r="L7" i="87"/>
  <c r="K7" i="87"/>
  <c r="J7" i="87"/>
  <c r="J17" i="87" s="1"/>
  <c r="I7" i="87"/>
  <c r="I17" i="87" s="1"/>
  <c r="H7" i="87"/>
  <c r="G7" i="87"/>
  <c r="F7" i="87"/>
  <c r="G95" i="72"/>
  <c r="I133" i="72"/>
  <c r="H133" i="72"/>
  <c r="G133" i="72"/>
  <c r="I138" i="72" s="1"/>
  <c r="G124" i="72"/>
  <c r="I105" i="72"/>
  <c r="I104" i="72"/>
  <c r="I124" i="72" s="1"/>
  <c r="H105" i="72"/>
  <c r="H104" i="72"/>
  <c r="H124" i="72" s="1"/>
  <c r="F105" i="72"/>
  <c r="F104" i="72"/>
  <c r="G105" i="72"/>
  <c r="E105" i="72"/>
  <c r="E104" i="72"/>
  <c r="G104" i="72"/>
  <c r="E79" i="86"/>
  <c r="H69" i="86"/>
  <c r="H79" i="86" s="1"/>
  <c r="G69" i="86"/>
  <c r="G79" i="86" s="1"/>
  <c r="F69" i="86"/>
  <c r="F79" i="86" s="1"/>
  <c r="E69" i="86"/>
  <c r="D69" i="86"/>
  <c r="D79" i="86" s="1"/>
  <c r="E39" i="86"/>
  <c r="E38" i="86"/>
  <c r="E37" i="86"/>
  <c r="E36" i="86"/>
  <c r="E35" i="86"/>
  <c r="B27" i="86"/>
  <c r="N25" i="86"/>
  <c r="M25" i="86"/>
  <c r="M26" i="86" s="1"/>
  <c r="N26" i="86" s="1"/>
  <c r="F25" i="86"/>
  <c r="F24" i="86"/>
  <c r="E24" i="86"/>
  <c r="E25" i="86" s="1"/>
  <c r="D24" i="86"/>
  <c r="D25" i="86" s="1"/>
  <c r="C24" i="86"/>
  <c r="C25" i="86" s="1"/>
  <c r="C26" i="86" s="1"/>
  <c r="N23" i="86"/>
  <c r="M23" i="86"/>
  <c r="F12" i="86"/>
  <c r="E12" i="86"/>
  <c r="D12" i="86"/>
  <c r="C12" i="86"/>
  <c r="B12" i="86"/>
  <c r="B10" i="86"/>
  <c r="C9" i="86"/>
  <c r="C10" i="86" s="1"/>
  <c r="F123" i="72"/>
  <c r="G123" i="72"/>
  <c r="H123" i="72"/>
  <c r="I123" i="72"/>
  <c r="E123" i="72"/>
  <c r="F122" i="72"/>
  <c r="G122" i="72"/>
  <c r="H122" i="72"/>
  <c r="I122" i="72"/>
  <c r="E122" i="72"/>
  <c r="E72" i="94" l="1"/>
  <c r="G20" i="94"/>
  <c r="H20" i="94" s="1"/>
  <c r="I52" i="94" s="1"/>
  <c r="F9" i="94"/>
  <c r="G9" i="94" s="1"/>
  <c r="H9" i="94" s="1"/>
  <c r="I9" i="94" s="1"/>
  <c r="J9" i="94" s="1"/>
  <c r="K9" i="94" s="1"/>
  <c r="L9" i="94" s="1"/>
  <c r="M9" i="94" s="1"/>
  <c r="N9" i="94" s="1"/>
  <c r="E73" i="94"/>
  <c r="G18" i="94"/>
  <c r="H49" i="94" s="1"/>
  <c r="G49" i="94"/>
  <c r="E74" i="94"/>
  <c r="E10" i="94"/>
  <c r="E13" i="94" s="1"/>
  <c r="E42" i="94" s="1"/>
  <c r="E64" i="94" s="1"/>
  <c r="E65" i="94" s="1"/>
  <c r="G16" i="94"/>
  <c r="H47" i="94" s="1"/>
  <c r="G24" i="94"/>
  <c r="H24" i="94" s="1"/>
  <c r="I24" i="94" s="1"/>
  <c r="J55" i="94" s="1"/>
  <c r="E71" i="94"/>
  <c r="H12" i="94"/>
  <c r="I12" i="94" s="1"/>
  <c r="J12" i="94" s="1"/>
  <c r="K12" i="94" s="1"/>
  <c r="L12" i="94" s="1"/>
  <c r="M12" i="94" s="1"/>
  <c r="N12" i="94" s="1"/>
  <c r="G22" i="94"/>
  <c r="H53" i="94" s="1"/>
  <c r="F47" i="94"/>
  <c r="N192" i="100"/>
  <c r="N189" i="100"/>
  <c r="O196" i="100"/>
  <c r="O193" i="100"/>
  <c r="H86" i="100"/>
  <c r="J86" i="100" s="1"/>
  <c r="K86" i="100" s="1"/>
  <c r="M86" i="100" s="1"/>
  <c r="J67" i="100" s="1"/>
  <c r="O190" i="100"/>
  <c r="P202" i="100"/>
  <c r="C183" i="100" s="1"/>
  <c r="C176" i="100" s="1"/>
  <c r="H154" i="100"/>
  <c r="N82" i="100"/>
  <c r="N81" i="100"/>
  <c r="N80" i="100"/>
  <c r="N79" i="100"/>
  <c r="O78" i="100"/>
  <c r="N78" i="100"/>
  <c r="G63" i="100"/>
  <c r="J64" i="100" s="1"/>
  <c r="E143" i="100"/>
  <c r="E144" i="100" s="1"/>
  <c r="E154" i="100" s="1"/>
  <c r="I143" i="100"/>
  <c r="I144" i="100" s="1"/>
  <c r="I154" i="100" s="1"/>
  <c r="G64" i="100"/>
  <c r="K64" i="100" s="1"/>
  <c r="F143" i="100"/>
  <c r="F144" i="100" s="1"/>
  <c r="F154" i="100" s="1"/>
  <c r="M10" i="99"/>
  <c r="M29" i="99"/>
  <c r="M11" i="99"/>
  <c r="L10" i="99"/>
  <c r="L30" i="99"/>
  <c r="L31" i="99" s="1"/>
  <c r="L32" i="99" s="1"/>
  <c r="L33" i="99" s="1"/>
  <c r="L34" i="99" s="1"/>
  <c r="L35" i="99" s="1"/>
  <c r="L36" i="99" s="1"/>
  <c r="L37" i="99" s="1"/>
  <c r="L38" i="99" s="1"/>
  <c r="N29" i="99"/>
  <c r="J30" i="99" s="1"/>
  <c r="K48" i="99"/>
  <c r="K49" i="99" s="1"/>
  <c r="K50" i="99" s="1"/>
  <c r="T49" i="97"/>
  <c r="X49" i="97"/>
  <c r="F15" i="97"/>
  <c r="F16" i="97"/>
  <c r="F17" i="97" s="1"/>
  <c r="F22" i="97" s="1"/>
  <c r="F52" i="97" s="1"/>
  <c r="J16" i="97"/>
  <c r="J17" i="97" s="1"/>
  <c r="J22" i="97" s="1"/>
  <c r="J15" i="97"/>
  <c r="Y16" i="97"/>
  <c r="Y17" i="97" s="1"/>
  <c r="Y22" i="97" s="1"/>
  <c r="Y52" i="97" s="1"/>
  <c r="Y15" i="97"/>
  <c r="I9" i="97"/>
  <c r="M10" i="97"/>
  <c r="W11" i="97"/>
  <c r="AB11" i="97"/>
  <c r="M12" i="97"/>
  <c r="W12" i="97"/>
  <c r="G35" i="97"/>
  <c r="G34" i="97"/>
  <c r="G36" i="97"/>
  <c r="K38" i="97"/>
  <c r="K35" i="97"/>
  <c r="K34" i="97"/>
  <c r="K36" i="97"/>
  <c r="O38" i="97"/>
  <c r="O35" i="97"/>
  <c r="O34" i="97"/>
  <c r="O37" i="97"/>
  <c r="S38" i="97"/>
  <c r="S35" i="97"/>
  <c r="S34" i="97"/>
  <c r="S33" i="97"/>
  <c r="S29" i="97"/>
  <c r="S37" i="97"/>
  <c r="W38" i="97"/>
  <c r="W35" i="97"/>
  <c r="W34" i="97"/>
  <c r="W36" i="97"/>
  <c r="W33" i="97"/>
  <c r="AA38" i="97"/>
  <c r="AA35" i="97"/>
  <c r="AA34" i="97"/>
  <c r="AA28" i="97"/>
  <c r="AA36" i="97"/>
  <c r="S27" i="97"/>
  <c r="K28" i="97"/>
  <c r="W28" i="97"/>
  <c r="AA29" i="97"/>
  <c r="G33" i="97"/>
  <c r="O33" i="97"/>
  <c r="S36" i="97"/>
  <c r="W37" i="97"/>
  <c r="I10" i="97"/>
  <c r="S11" i="97"/>
  <c r="X11" i="97"/>
  <c r="I12" i="97"/>
  <c r="S12" i="97"/>
  <c r="N15" i="97"/>
  <c r="N17" i="97" s="1"/>
  <c r="N22" i="97" s="1"/>
  <c r="H37" i="97"/>
  <c r="H36" i="97"/>
  <c r="H33" i="97"/>
  <c r="H29" i="97"/>
  <c r="H35" i="97"/>
  <c r="L37" i="97"/>
  <c r="L36" i="97"/>
  <c r="L34" i="97"/>
  <c r="P37" i="97"/>
  <c r="P36" i="97"/>
  <c r="P38" i="97"/>
  <c r="P34" i="97"/>
  <c r="T37" i="97"/>
  <c r="T36" i="97"/>
  <c r="T35" i="97"/>
  <c r="T38" i="97"/>
  <c r="X37" i="97"/>
  <c r="X36" i="97"/>
  <c r="X33" i="97"/>
  <c r="X29" i="97"/>
  <c r="X35" i="97"/>
  <c r="AB37" i="97"/>
  <c r="AB36" i="97"/>
  <c r="AB34" i="97"/>
  <c r="AB33" i="97"/>
  <c r="O27" i="97"/>
  <c r="T27" i="97"/>
  <c r="G28" i="97"/>
  <c r="L28" i="97"/>
  <c r="X28" i="97"/>
  <c r="G29" i="97"/>
  <c r="O29" i="97"/>
  <c r="AB29" i="97"/>
  <c r="P33" i="97"/>
  <c r="P35" i="97"/>
  <c r="G37" i="97"/>
  <c r="L38" i="97"/>
  <c r="Z42" i="97"/>
  <c r="V42" i="97"/>
  <c r="R42" i="97"/>
  <c r="N42" i="97"/>
  <c r="J42" i="97"/>
  <c r="F42" i="97"/>
  <c r="AB42" i="97"/>
  <c r="W42" i="97"/>
  <c r="Q42" i="97"/>
  <c r="L42" i="97"/>
  <c r="G42" i="97"/>
  <c r="AA42" i="97"/>
  <c r="U42" i="97"/>
  <c r="P42" i="97"/>
  <c r="K42" i="97"/>
  <c r="E42" i="97"/>
  <c r="O42" i="97"/>
  <c r="Y42" i="97"/>
  <c r="G9" i="97"/>
  <c r="Q9" i="97"/>
  <c r="Q13" i="97" s="1"/>
  <c r="W9" i="97"/>
  <c r="AB9" i="97"/>
  <c r="O11" i="97"/>
  <c r="O13" i="97" s="1"/>
  <c r="T11" i="97"/>
  <c r="T13" i="97" s="1"/>
  <c r="O12" i="97"/>
  <c r="K27" i="97"/>
  <c r="P27" i="97"/>
  <c r="AA27" i="97"/>
  <c r="H28" i="97"/>
  <c r="S28" i="97"/>
  <c r="P29" i="97"/>
  <c r="W29" i="97"/>
  <c r="K33" i="97"/>
  <c r="AA33" i="97"/>
  <c r="X34" i="97"/>
  <c r="AB35" i="97"/>
  <c r="O36" i="97"/>
  <c r="AA37" i="97"/>
  <c r="X38" i="97"/>
  <c r="H42" i="97"/>
  <c r="S42" i="97"/>
  <c r="Y43" i="97"/>
  <c r="U43" i="97"/>
  <c r="Q43" i="97"/>
  <c r="M43" i="97"/>
  <c r="I43" i="97"/>
  <c r="E43" i="97"/>
  <c r="X43" i="97"/>
  <c r="S43" i="97"/>
  <c r="N43" i="97"/>
  <c r="H43" i="97"/>
  <c r="AB43" i="97"/>
  <c r="W43" i="97"/>
  <c r="R43" i="97"/>
  <c r="L43" i="97"/>
  <c r="G43" i="97"/>
  <c r="O43" i="97"/>
  <c r="Z43" i="97"/>
  <c r="Z7" i="97"/>
  <c r="V7" i="97"/>
  <c r="R7" i="97"/>
  <c r="U7" i="97"/>
  <c r="AA7" i="97"/>
  <c r="H9" i="97"/>
  <c r="H13" i="97" s="1"/>
  <c r="M9" i="97"/>
  <c r="S9" i="97"/>
  <c r="X9" i="97"/>
  <c r="L10" i="97"/>
  <c r="L13" i="97" s="1"/>
  <c r="Q10" i="97"/>
  <c r="AB10" i="97"/>
  <c r="K11" i="97"/>
  <c r="K13" i="97" s="1"/>
  <c r="P11" i="97"/>
  <c r="P13" i="97" s="1"/>
  <c r="K12" i="97"/>
  <c r="Q12" i="97"/>
  <c r="F33" i="97"/>
  <c r="F29" i="97"/>
  <c r="F34" i="97"/>
  <c r="F36" i="97"/>
  <c r="J33" i="97"/>
  <c r="J29" i="97"/>
  <c r="J38" i="97"/>
  <c r="J37" i="97"/>
  <c r="J34" i="97"/>
  <c r="N33" i="97"/>
  <c r="N29" i="97"/>
  <c r="N35" i="97"/>
  <c r="N38" i="97"/>
  <c r="N37" i="97"/>
  <c r="R33" i="97"/>
  <c r="R29" i="97"/>
  <c r="R36" i="97"/>
  <c r="R35" i="97"/>
  <c r="V33" i="97"/>
  <c r="V29" i="97"/>
  <c r="V28" i="97"/>
  <c r="V34" i="97"/>
  <c r="V36" i="97"/>
  <c r="Z33" i="97"/>
  <c r="Z29" i="97"/>
  <c r="Z28" i="97"/>
  <c r="Z38" i="97"/>
  <c r="Z37" i="97"/>
  <c r="Z34" i="97"/>
  <c r="G27" i="97"/>
  <c r="L27" i="97"/>
  <c r="R27" i="97"/>
  <c r="W27" i="97"/>
  <c r="AB27" i="97"/>
  <c r="J28" i="97"/>
  <c r="O28" i="97"/>
  <c r="T28" i="97"/>
  <c r="AB28" i="97"/>
  <c r="K29" i="97"/>
  <c r="L33" i="97"/>
  <c r="T33" i="97"/>
  <c r="H34" i="97"/>
  <c r="R34" i="97"/>
  <c r="L35" i="97"/>
  <c r="Z36" i="97"/>
  <c r="K37" i="97"/>
  <c r="V37" i="97"/>
  <c r="H38" i="97"/>
  <c r="I42" i="97"/>
  <c r="T42" i="97"/>
  <c r="F43" i="97"/>
  <c r="P43" i="97"/>
  <c r="AA43" i="97"/>
  <c r="Z49" i="97"/>
  <c r="V49" i="97"/>
  <c r="R49" i="97"/>
  <c r="N49" i="97"/>
  <c r="J49" i="97"/>
  <c r="F49" i="97"/>
  <c r="K49" i="97"/>
  <c r="P49" i="97"/>
  <c r="U49" i="97"/>
  <c r="AA49" i="97"/>
  <c r="Z30" i="97"/>
  <c r="V30" i="97"/>
  <c r="R30" i="97"/>
  <c r="N30" i="97"/>
  <c r="J30" i="97"/>
  <c r="F30" i="97"/>
  <c r="E27" i="97"/>
  <c r="E52" i="97" s="1"/>
  <c r="E53" i="97" s="1"/>
  <c r="I27" i="97"/>
  <c r="M27" i="97"/>
  <c r="Q27" i="97"/>
  <c r="U27" i="97"/>
  <c r="Y27" i="97"/>
  <c r="E28" i="97"/>
  <c r="I28" i="97"/>
  <c r="M28" i="97"/>
  <c r="Q28" i="97"/>
  <c r="U28" i="97"/>
  <c r="M29" i="97"/>
  <c r="E30" i="97"/>
  <c r="K30" i="97"/>
  <c r="P30" i="97"/>
  <c r="U30" i="97"/>
  <c r="AA30" i="97"/>
  <c r="M33" i="97"/>
  <c r="E37" i="97"/>
  <c r="U37" i="97"/>
  <c r="G49" i="97"/>
  <c r="L49" i="97"/>
  <c r="Q49" i="97"/>
  <c r="W49" i="97"/>
  <c r="AB49" i="97"/>
  <c r="I137" i="96"/>
  <c r="G54" i="96"/>
  <c r="M86" i="96"/>
  <c r="H69" i="96" s="1"/>
  <c r="J67" i="96" s="1"/>
  <c r="H120" i="96"/>
  <c r="G120" i="96"/>
  <c r="F120" i="96"/>
  <c r="E120" i="96"/>
  <c r="H106" i="96"/>
  <c r="G106" i="96"/>
  <c r="F108" i="96"/>
  <c r="F106" i="96"/>
  <c r="G64" i="96"/>
  <c r="K64" i="96" s="1"/>
  <c r="K65" i="96" s="1"/>
  <c r="K66" i="96" s="1"/>
  <c r="G63" i="96"/>
  <c r="J64" i="96" s="1"/>
  <c r="I106" i="96"/>
  <c r="I120" i="96"/>
  <c r="O197" i="96"/>
  <c r="N79" i="96"/>
  <c r="F136" i="96"/>
  <c r="F149" i="96" s="1"/>
  <c r="I136" i="96"/>
  <c r="E136" i="96"/>
  <c r="E149" i="96" s="1"/>
  <c r="I112" i="96"/>
  <c r="H136" i="96"/>
  <c r="D158" i="96"/>
  <c r="O78" i="96"/>
  <c r="P78" i="96" s="1"/>
  <c r="Q78" i="96" s="1"/>
  <c r="G136" i="96"/>
  <c r="G149" i="96" s="1"/>
  <c r="P206" i="96"/>
  <c r="H137" i="96"/>
  <c r="N112" i="96"/>
  <c r="E137" i="96"/>
  <c r="K10" i="95"/>
  <c r="M10" i="95"/>
  <c r="L10" i="95" s="1"/>
  <c r="N10" i="95" s="1"/>
  <c r="J11" i="95" s="1"/>
  <c r="M29" i="95"/>
  <c r="M11" i="95"/>
  <c r="N29" i="95"/>
  <c r="J30" i="95" s="1"/>
  <c r="L39" i="95"/>
  <c r="K48" i="95"/>
  <c r="K49" i="95" s="1"/>
  <c r="K50" i="95" s="1"/>
  <c r="I20" i="94"/>
  <c r="G23" i="94"/>
  <c r="H23" i="94" s="1"/>
  <c r="I23" i="94" s="1"/>
  <c r="J23" i="94" s="1"/>
  <c r="K23" i="94" s="1"/>
  <c r="L23" i="94" s="1"/>
  <c r="M23" i="94" s="1"/>
  <c r="N23" i="94" s="1"/>
  <c r="G46" i="94"/>
  <c r="H46" i="94" s="1"/>
  <c r="F52" i="94"/>
  <c r="G52" i="94" s="1"/>
  <c r="G21" i="94"/>
  <c r="H21" i="94" s="1"/>
  <c r="I21" i="94" s="1"/>
  <c r="J21" i="94" s="1"/>
  <c r="K21" i="94" s="1"/>
  <c r="L21" i="94" s="1"/>
  <c r="M21" i="94" s="1"/>
  <c r="N21" i="94" s="1"/>
  <c r="H52" i="94"/>
  <c r="I113" i="91"/>
  <c r="I114" i="91"/>
  <c r="N115" i="91"/>
  <c r="D158" i="91"/>
  <c r="H136" i="91"/>
  <c r="G136" i="91"/>
  <c r="E137" i="91"/>
  <c r="E138" i="91"/>
  <c r="N196" i="91"/>
  <c r="O197" i="91" s="1"/>
  <c r="E136" i="91"/>
  <c r="F136" i="91"/>
  <c r="H137" i="91"/>
  <c r="G138" i="91"/>
  <c r="F137" i="91"/>
  <c r="I137" i="91"/>
  <c r="I149" i="91" s="1"/>
  <c r="H120" i="91"/>
  <c r="F120" i="91"/>
  <c r="E120" i="91"/>
  <c r="G120" i="91"/>
  <c r="I120" i="91"/>
  <c r="P206" i="91"/>
  <c r="N110" i="91"/>
  <c r="E101" i="91" s="1"/>
  <c r="N111" i="91"/>
  <c r="O200" i="91"/>
  <c r="N116" i="91"/>
  <c r="N193" i="91"/>
  <c r="O194" i="91" s="1"/>
  <c r="N82" i="91"/>
  <c r="N81" i="91"/>
  <c r="N80" i="91"/>
  <c r="N79" i="91"/>
  <c r="N78" i="91"/>
  <c r="O78" i="91"/>
  <c r="K86" i="91"/>
  <c r="G63" i="91"/>
  <c r="J64" i="91" s="1"/>
  <c r="G64" i="91"/>
  <c r="K64" i="91" s="1"/>
  <c r="G64" i="90"/>
  <c r="K64" i="90" s="1"/>
  <c r="G63" i="90"/>
  <c r="J64" i="90" s="1"/>
  <c r="F124" i="90"/>
  <c r="K86" i="90"/>
  <c r="M86" i="90" s="1"/>
  <c r="E124" i="90"/>
  <c r="O78" i="90"/>
  <c r="O194" i="90"/>
  <c r="N82" i="90"/>
  <c r="N81" i="90"/>
  <c r="N80" i="90"/>
  <c r="N79" i="90"/>
  <c r="N78" i="90"/>
  <c r="I124" i="90"/>
  <c r="F135" i="90"/>
  <c r="F143" i="90"/>
  <c r="G124" i="90"/>
  <c r="G131" i="90"/>
  <c r="G143" i="90" s="1"/>
  <c r="E124" i="72"/>
  <c r="F124" i="72"/>
  <c r="K65" i="88"/>
  <c r="K66" i="88" s="1"/>
  <c r="K86" i="88"/>
  <c r="M86" i="88" s="1"/>
  <c r="O194" i="88"/>
  <c r="N82" i="88"/>
  <c r="N81" i="88"/>
  <c r="N80" i="88"/>
  <c r="N79" i="88"/>
  <c r="O78" i="88"/>
  <c r="N78" i="88"/>
  <c r="P78" i="88" s="1"/>
  <c r="Q78" i="88" s="1"/>
  <c r="G66" i="88"/>
  <c r="M64" i="88" s="1"/>
  <c r="M65" i="88" s="1"/>
  <c r="M66" i="88" s="1"/>
  <c r="F124" i="88"/>
  <c r="G124" i="88"/>
  <c r="H124" i="88"/>
  <c r="M49" i="87"/>
  <c r="U49" i="87"/>
  <c r="F49" i="87"/>
  <c r="J49" i="87"/>
  <c r="N49" i="87"/>
  <c r="R49" i="87"/>
  <c r="V49" i="87"/>
  <c r="Z49" i="87"/>
  <c r="F50" i="87"/>
  <c r="J50" i="87"/>
  <c r="N50" i="87"/>
  <c r="R50" i="87"/>
  <c r="V50" i="87"/>
  <c r="Z50" i="87"/>
  <c r="I49" i="87"/>
  <c r="Q49" i="87"/>
  <c r="Y49" i="87"/>
  <c r="G49" i="87"/>
  <c r="K49" i="87"/>
  <c r="O49" i="87"/>
  <c r="S49" i="87"/>
  <c r="W49" i="87"/>
  <c r="G50" i="87"/>
  <c r="K50" i="87"/>
  <c r="O50" i="87"/>
  <c r="S50" i="87"/>
  <c r="W50" i="87"/>
  <c r="J55" i="87"/>
  <c r="AA32" i="87"/>
  <c r="W42" i="87"/>
  <c r="S33" i="87"/>
  <c r="AA33" i="87"/>
  <c r="M41" i="87"/>
  <c r="S34" i="87"/>
  <c r="O41" i="87"/>
  <c r="AA34" i="87"/>
  <c r="W39" i="87"/>
  <c r="W43" i="87"/>
  <c r="K95" i="87"/>
  <c r="M95" i="87" s="1"/>
  <c r="H17" i="87"/>
  <c r="L17" i="87"/>
  <c r="P17" i="87"/>
  <c r="M34" i="87"/>
  <c r="M32" i="87"/>
  <c r="O35" i="87"/>
  <c r="AA40" i="87"/>
  <c r="Y41" i="87"/>
  <c r="F91" i="87"/>
  <c r="I35" i="87"/>
  <c r="S32" i="87"/>
  <c r="Y33" i="87"/>
  <c r="Y34" i="87"/>
  <c r="V35" i="87"/>
  <c r="G41" i="87"/>
  <c r="G42" i="87"/>
  <c r="H39" i="87"/>
  <c r="T42" i="87"/>
  <c r="P39" i="87"/>
  <c r="AB39" i="87"/>
  <c r="L40" i="87"/>
  <c r="T40" i="87"/>
  <c r="L42" i="87"/>
  <c r="AB42" i="87"/>
  <c r="T43" i="87"/>
  <c r="Q32" i="87"/>
  <c r="E33" i="87"/>
  <c r="Q33" i="87"/>
  <c r="Q34" i="87"/>
  <c r="J35" i="87"/>
  <c r="Q35" i="87"/>
  <c r="Y35" i="87"/>
  <c r="T39" i="87"/>
  <c r="H40" i="87"/>
  <c r="M40" i="87"/>
  <c r="U40" i="87"/>
  <c r="AB40" i="87"/>
  <c r="M42" i="87"/>
  <c r="H43" i="87"/>
  <c r="F20" i="87"/>
  <c r="O17" i="87"/>
  <c r="I32" i="87"/>
  <c r="I33" i="87"/>
  <c r="I34" i="87"/>
  <c r="E35" i="87"/>
  <c r="K35" i="87"/>
  <c r="S35" i="87"/>
  <c r="Z35" i="87"/>
  <c r="L39" i="87"/>
  <c r="I40" i="87"/>
  <c r="P40" i="87"/>
  <c r="X40" i="87"/>
  <c r="U41" i="87"/>
  <c r="H42" i="87"/>
  <c r="P42" i="87"/>
  <c r="X42" i="87"/>
  <c r="L43" i="87"/>
  <c r="X43" i="87"/>
  <c r="S17" i="87"/>
  <c r="K32" i="87"/>
  <c r="Y32" i="87"/>
  <c r="K33" i="87"/>
  <c r="K34" i="87"/>
  <c r="V34" i="87"/>
  <c r="F35" i="87"/>
  <c r="N35" i="87"/>
  <c r="U35" i="87"/>
  <c r="G39" i="87"/>
  <c r="O39" i="87"/>
  <c r="X39" i="87"/>
  <c r="K40" i="87"/>
  <c r="S40" i="87"/>
  <c r="Y40" i="87"/>
  <c r="I41" i="87"/>
  <c r="W41" i="87"/>
  <c r="P43" i="87"/>
  <c r="AB43" i="87"/>
  <c r="E22" i="87"/>
  <c r="E27" i="87" s="1"/>
  <c r="R42" i="87"/>
  <c r="R40" i="87"/>
  <c r="R33" i="87"/>
  <c r="R39" i="87"/>
  <c r="R34" i="87"/>
  <c r="R32" i="87"/>
  <c r="F40" i="87"/>
  <c r="F33" i="87"/>
  <c r="F39" i="87"/>
  <c r="N42" i="87"/>
  <c r="N40" i="87"/>
  <c r="N39" i="87"/>
  <c r="N34" i="87"/>
  <c r="N32" i="87"/>
  <c r="N43" i="87"/>
  <c r="N41" i="87"/>
  <c r="Z42" i="87"/>
  <c r="Z40" i="87"/>
  <c r="Z34" i="87"/>
  <c r="Z32" i="87"/>
  <c r="Z41" i="87"/>
  <c r="Z43" i="87"/>
  <c r="Z33" i="87"/>
  <c r="W17" i="87"/>
  <c r="F34" i="87"/>
  <c r="R41" i="87"/>
  <c r="J42" i="87"/>
  <c r="J40" i="87"/>
  <c r="J34" i="87"/>
  <c r="J32" i="87"/>
  <c r="J43" i="87"/>
  <c r="J41" i="87"/>
  <c r="J33" i="87"/>
  <c r="V42" i="87"/>
  <c r="V40" i="87"/>
  <c r="V43" i="87"/>
  <c r="V41" i="87"/>
  <c r="V33" i="87"/>
  <c r="V39" i="87"/>
  <c r="R43" i="87"/>
  <c r="K17" i="87"/>
  <c r="AA17" i="87"/>
  <c r="Z39" i="87"/>
  <c r="G32" i="87"/>
  <c r="W32" i="87"/>
  <c r="O33" i="87"/>
  <c r="G34" i="87"/>
  <c r="W34" i="87"/>
  <c r="K39" i="87"/>
  <c r="AA39" i="87"/>
  <c r="O40" i="87"/>
  <c r="S41" i="87"/>
  <c r="S42" i="87"/>
  <c r="S43" i="87"/>
  <c r="Q17" i="87"/>
  <c r="Y17" i="87"/>
  <c r="O42" i="87"/>
  <c r="O43" i="87"/>
  <c r="AB35" i="87"/>
  <c r="X35" i="87"/>
  <c r="T35" i="87"/>
  <c r="P35" i="87"/>
  <c r="L35" i="87"/>
  <c r="H35" i="87"/>
  <c r="I43" i="87"/>
  <c r="I39" i="87"/>
  <c r="M43" i="87"/>
  <c r="M39" i="87"/>
  <c r="Q43" i="87"/>
  <c r="Q39" i="87"/>
  <c r="U43" i="87"/>
  <c r="U39" i="87"/>
  <c r="Y43" i="87"/>
  <c r="Y39" i="87"/>
  <c r="E32" i="87"/>
  <c r="O32" i="87"/>
  <c r="U32" i="87"/>
  <c r="G33" i="87"/>
  <c r="M33" i="87"/>
  <c r="W33" i="87"/>
  <c r="E34" i="87"/>
  <c r="O34" i="87"/>
  <c r="U34" i="87"/>
  <c r="G35" i="87"/>
  <c r="M35" i="87"/>
  <c r="R35" i="87"/>
  <c r="W35" i="87"/>
  <c r="Q40" i="87"/>
  <c r="K41" i="87"/>
  <c r="Q41" i="87"/>
  <c r="AA41" i="87"/>
  <c r="K42" i="87"/>
  <c r="U42" i="87"/>
  <c r="AA42" i="87"/>
  <c r="H32" i="87"/>
  <c r="L32" i="87"/>
  <c r="P32" i="87"/>
  <c r="T32" i="87"/>
  <c r="X32" i="87"/>
  <c r="AB32" i="87"/>
  <c r="H33" i="87"/>
  <c r="L33" i="87"/>
  <c r="P33" i="87"/>
  <c r="T33" i="87"/>
  <c r="X33" i="87"/>
  <c r="AB33" i="87"/>
  <c r="H34" i="87"/>
  <c r="L34" i="87"/>
  <c r="P34" i="87"/>
  <c r="T34" i="87"/>
  <c r="X34" i="87"/>
  <c r="AB34" i="87"/>
  <c r="D26" i="86"/>
  <c r="C27" i="86"/>
  <c r="D9" i="86"/>
  <c r="F10" i="94" l="1"/>
  <c r="J24" i="94"/>
  <c r="H55" i="94"/>
  <c r="I55" i="94"/>
  <c r="H16" i="94"/>
  <c r="I47" i="94" s="1"/>
  <c r="H22" i="94"/>
  <c r="I53" i="94" s="1"/>
  <c r="H18" i="94"/>
  <c r="K65" i="100"/>
  <c r="K66" i="100" s="1"/>
  <c r="K67" i="100"/>
  <c r="P78" i="100"/>
  <c r="Q78" i="100" s="1"/>
  <c r="O79" i="100" s="1"/>
  <c r="P79" i="100" s="1"/>
  <c r="Q79" i="100" s="1"/>
  <c r="J154" i="100"/>
  <c r="G65" i="100"/>
  <c r="N30" i="99"/>
  <c r="J31" i="99" s="1"/>
  <c r="K30" i="99"/>
  <c r="M12" i="99"/>
  <c r="L39" i="99"/>
  <c r="N10" i="99"/>
  <c r="J11" i="99" s="1"/>
  <c r="N52" i="97"/>
  <c r="J52" i="97"/>
  <c r="F53" i="97"/>
  <c r="P15" i="97"/>
  <c r="P17" i="97"/>
  <c r="P22" i="97" s="1"/>
  <c r="P52" i="97" s="1"/>
  <c r="P16" i="97"/>
  <c r="L15" i="97"/>
  <c r="L16" i="97"/>
  <c r="L17" i="97" s="1"/>
  <c r="L22" i="97" s="1"/>
  <c r="L52" i="97" s="1"/>
  <c r="T15" i="97"/>
  <c r="T16" i="97"/>
  <c r="T17" i="97"/>
  <c r="T22" i="97" s="1"/>
  <c r="T52" i="97" s="1"/>
  <c r="K15" i="97"/>
  <c r="K17" i="97" s="1"/>
  <c r="K22" i="97" s="1"/>
  <c r="K52" i="97" s="1"/>
  <c r="K16" i="97"/>
  <c r="O16" i="97"/>
  <c r="O15" i="97"/>
  <c r="O17" i="97" s="1"/>
  <c r="O22" i="97" s="1"/>
  <c r="O52" i="97" s="1"/>
  <c r="H15" i="97"/>
  <c r="H16" i="97"/>
  <c r="H17" i="97"/>
  <c r="H22" i="97" s="1"/>
  <c r="H52" i="97" s="1"/>
  <c r="Q16" i="97"/>
  <c r="Q15" i="97"/>
  <c r="Q17" i="97" s="1"/>
  <c r="Q22" i="97" s="1"/>
  <c r="Q52" i="97" s="1"/>
  <c r="X13" i="97"/>
  <c r="AA10" i="97"/>
  <c r="AA12" i="97"/>
  <c r="AA11" i="97"/>
  <c r="AA9" i="97"/>
  <c r="AA13" i="97" s="1"/>
  <c r="Z9" i="97"/>
  <c r="Z12" i="97"/>
  <c r="Z11" i="97"/>
  <c r="Z10" i="97"/>
  <c r="G13" i="97"/>
  <c r="G2" i="97"/>
  <c r="S13" i="97"/>
  <c r="U11" i="97"/>
  <c r="U12" i="97"/>
  <c r="U10" i="97"/>
  <c r="U9" i="97"/>
  <c r="AB13" i="97"/>
  <c r="I13" i="97"/>
  <c r="V9" i="97"/>
  <c r="V12" i="97"/>
  <c r="V11" i="97"/>
  <c r="V10" i="97"/>
  <c r="M13" i="97"/>
  <c r="R9" i="97"/>
  <c r="R12" i="97"/>
  <c r="R11" i="97"/>
  <c r="R10" i="97"/>
  <c r="W13" i="97"/>
  <c r="O79" i="96"/>
  <c r="K67" i="96"/>
  <c r="L67" i="96" s="1"/>
  <c r="H149" i="96"/>
  <c r="E146" i="96"/>
  <c r="F124" i="96"/>
  <c r="F146" i="96"/>
  <c r="I124" i="96"/>
  <c r="G124" i="96"/>
  <c r="G146" i="96"/>
  <c r="I141" i="96"/>
  <c r="I149" i="96" s="1"/>
  <c r="G65" i="96"/>
  <c r="L64" i="96" s="1"/>
  <c r="L65" i="96" s="1"/>
  <c r="L66" i="96" s="1"/>
  <c r="H124" i="96"/>
  <c r="H146" i="96" s="1"/>
  <c r="P79" i="96"/>
  <c r="Q79" i="96" s="1"/>
  <c r="G66" i="96"/>
  <c r="M64" i="96" s="1"/>
  <c r="M65" i="96" s="1"/>
  <c r="M66" i="96" s="1"/>
  <c r="K11" i="95"/>
  <c r="N30" i="95"/>
  <c r="J31" i="95" s="1"/>
  <c r="K30" i="95"/>
  <c r="M12" i="95"/>
  <c r="L11" i="95"/>
  <c r="N11" i="95" s="1"/>
  <c r="J12" i="95" s="1"/>
  <c r="J52" i="94"/>
  <c r="J20" i="94"/>
  <c r="I18" i="94"/>
  <c r="I49" i="94"/>
  <c r="K55" i="94"/>
  <c r="K24" i="94"/>
  <c r="G10" i="94"/>
  <c r="F13" i="94"/>
  <c r="F42" i="94" s="1"/>
  <c r="F64" i="94" s="1"/>
  <c r="F65" i="94" s="1"/>
  <c r="H54" i="94"/>
  <c r="I46" i="94"/>
  <c r="E103" i="91"/>
  <c r="F149" i="91"/>
  <c r="H149" i="91"/>
  <c r="G149" i="91"/>
  <c r="E149" i="91"/>
  <c r="K65" i="91"/>
  <c r="K66" i="91" s="1"/>
  <c r="G65" i="91"/>
  <c r="M86" i="91"/>
  <c r="H69" i="91" s="1"/>
  <c r="J67" i="91" s="1"/>
  <c r="G54" i="91"/>
  <c r="P78" i="91"/>
  <c r="Q78" i="91" s="1"/>
  <c r="G65" i="90"/>
  <c r="L64" i="90" s="1"/>
  <c r="L65" i="90" s="1"/>
  <c r="L66" i="90" s="1"/>
  <c r="G66" i="90"/>
  <c r="M64" i="90" s="1"/>
  <c r="M65" i="90" s="1"/>
  <c r="M66" i="90" s="1"/>
  <c r="P78" i="90"/>
  <c r="Q78" i="90" s="1"/>
  <c r="K65" i="90"/>
  <c r="K66" i="90" s="1"/>
  <c r="H118" i="90"/>
  <c r="G118" i="90"/>
  <c r="F118" i="90"/>
  <c r="H69" i="90"/>
  <c r="J67" i="90" s="1"/>
  <c r="K67" i="90" s="1"/>
  <c r="L67" i="90" s="1"/>
  <c r="M67" i="90" s="1"/>
  <c r="N67" i="90" s="1"/>
  <c r="I118" i="90"/>
  <c r="E118" i="90"/>
  <c r="G67" i="90"/>
  <c r="N64" i="90" s="1"/>
  <c r="N65" i="90" s="1"/>
  <c r="N66" i="90" s="1"/>
  <c r="O79" i="88"/>
  <c r="P79" i="88" s="1"/>
  <c r="Q79" i="88" s="1"/>
  <c r="I118" i="88"/>
  <c r="E118" i="88"/>
  <c r="H69" i="88"/>
  <c r="J67" i="88" s="1"/>
  <c r="K67" i="88" s="1"/>
  <c r="L67" i="88" s="1"/>
  <c r="M67" i="88" s="1"/>
  <c r="H118" i="88"/>
  <c r="G118" i="88"/>
  <c r="F118" i="88"/>
  <c r="G67" i="88"/>
  <c r="N64" i="88" s="1"/>
  <c r="N65" i="88" s="1"/>
  <c r="N66" i="88" s="1"/>
  <c r="L20" i="87"/>
  <c r="O21" i="87"/>
  <c r="G21" i="87"/>
  <c r="F21" i="87"/>
  <c r="N21" i="87"/>
  <c r="H21" i="87"/>
  <c r="K21" i="87"/>
  <c r="J20" i="87"/>
  <c r="M21" i="87"/>
  <c r="Q20" i="87"/>
  <c r="I20" i="87"/>
  <c r="F22" i="87"/>
  <c r="F27" i="87" s="1"/>
  <c r="F57" i="87" s="1"/>
  <c r="E57" i="87"/>
  <c r="E58" i="87" s="1"/>
  <c r="D10" i="86"/>
  <c r="E9" i="86"/>
  <c r="D27" i="86"/>
  <c r="E26" i="86"/>
  <c r="I22" i="94" l="1"/>
  <c r="I16" i="94"/>
  <c r="O80" i="100"/>
  <c r="P80" i="100" s="1"/>
  <c r="Q80" i="100"/>
  <c r="L64" i="100"/>
  <c r="L65" i="100" s="1"/>
  <c r="L66" i="100" s="1"/>
  <c r="L67" i="100" s="1"/>
  <c r="G66" i="100"/>
  <c r="K31" i="99"/>
  <c r="M31" i="99" s="1"/>
  <c r="N31" i="99"/>
  <c r="J32" i="99" s="1"/>
  <c r="K11" i="99"/>
  <c r="M13" i="99"/>
  <c r="M20" i="99" s="1"/>
  <c r="M30" i="99"/>
  <c r="R13" i="97"/>
  <c r="M16" i="97"/>
  <c r="M15" i="97"/>
  <c r="M17" i="97" s="1"/>
  <c r="M22" i="97" s="1"/>
  <c r="M52" i="97" s="1"/>
  <c r="V13" i="97"/>
  <c r="AB15" i="97"/>
  <c r="AB16" i="97"/>
  <c r="AB17" i="97" s="1"/>
  <c r="AB22" i="97" s="1"/>
  <c r="AB52" i="97" s="1"/>
  <c r="AA15" i="97"/>
  <c r="AA16" i="97"/>
  <c r="AA17" i="97" s="1"/>
  <c r="AA22" i="97" s="1"/>
  <c r="AA52" i="97" s="1"/>
  <c r="X15" i="97"/>
  <c r="X17" i="97" s="1"/>
  <c r="X22" i="97" s="1"/>
  <c r="X52" i="97" s="1"/>
  <c r="X16" i="97"/>
  <c r="W16" i="97"/>
  <c r="W17" i="97" s="1"/>
  <c r="W22" i="97" s="1"/>
  <c r="W52" i="97" s="1"/>
  <c r="W15" i="97"/>
  <c r="U13" i="97"/>
  <c r="S16" i="97"/>
  <c r="S15" i="97"/>
  <c r="S17" i="97" s="1"/>
  <c r="S22" i="97" s="1"/>
  <c r="S52" i="97" s="1"/>
  <c r="I16" i="97"/>
  <c r="I15" i="97"/>
  <c r="I17" i="97" s="1"/>
  <c r="I22" i="97" s="1"/>
  <c r="I52" i="97" s="1"/>
  <c r="G16" i="97"/>
  <c r="G15" i="97"/>
  <c r="G17" i="97" s="1"/>
  <c r="G22" i="97" s="1"/>
  <c r="G52" i="97" s="1"/>
  <c r="G53" i="97" s="1"/>
  <c r="Z13" i="97"/>
  <c r="H147" i="96"/>
  <c r="H148" i="96" s="1"/>
  <c r="H158" i="96" s="1"/>
  <c r="O80" i="96"/>
  <c r="P80" i="96" s="1"/>
  <c r="Q80" i="96"/>
  <c r="I146" i="96"/>
  <c r="E147" i="96"/>
  <c r="E148" i="96" s="1"/>
  <c r="E158" i="96" s="1"/>
  <c r="G67" i="96"/>
  <c r="N64" i="96" s="1"/>
  <c r="N65" i="96" s="1"/>
  <c r="N66" i="96" s="1"/>
  <c r="G147" i="96"/>
  <c r="G148" i="96" s="1"/>
  <c r="G158" i="96" s="1"/>
  <c r="F147" i="96"/>
  <c r="F148" i="96" s="1"/>
  <c r="F158" i="96" s="1"/>
  <c r="M67" i="96"/>
  <c r="K12" i="95"/>
  <c r="K20" i="95" s="1"/>
  <c r="N31" i="95"/>
  <c r="J32" i="95" s="1"/>
  <c r="K31" i="95"/>
  <c r="M31" i="95" s="1"/>
  <c r="L12" i="95"/>
  <c r="L20" i="95" s="1"/>
  <c r="M13" i="95"/>
  <c r="M20" i="95" s="1"/>
  <c r="M30" i="95"/>
  <c r="J16" i="94"/>
  <c r="J47" i="94"/>
  <c r="G13" i="94"/>
  <c r="G42" i="94" s="1"/>
  <c r="G64" i="94" s="1"/>
  <c r="G65" i="94" s="1"/>
  <c r="H10" i="94"/>
  <c r="J18" i="94"/>
  <c r="J49" i="94"/>
  <c r="J46" i="94"/>
  <c r="I54" i="94"/>
  <c r="L24" i="94"/>
  <c r="L55" i="94"/>
  <c r="J22" i="94"/>
  <c r="J53" i="94"/>
  <c r="K52" i="94"/>
  <c r="K20" i="94"/>
  <c r="F103" i="91"/>
  <c r="G103" i="91" s="1"/>
  <c r="H103" i="91" s="1"/>
  <c r="I103" i="91" s="1"/>
  <c r="K67" i="91"/>
  <c r="L64" i="91"/>
  <c r="L65" i="91" s="1"/>
  <c r="L66" i="91" s="1"/>
  <c r="G66" i="91"/>
  <c r="M64" i="91" s="1"/>
  <c r="M65" i="91" s="1"/>
  <c r="M66" i="91" s="1"/>
  <c r="F146" i="91"/>
  <c r="H146" i="91"/>
  <c r="G146" i="91"/>
  <c r="O79" i="91"/>
  <c r="P79" i="91" s="1"/>
  <c r="Q79" i="91" s="1"/>
  <c r="I146" i="91"/>
  <c r="E146" i="91"/>
  <c r="F121" i="90"/>
  <c r="F140" i="90"/>
  <c r="E121" i="90"/>
  <c r="E140" i="90"/>
  <c r="G121" i="90"/>
  <c r="G140" i="90"/>
  <c r="I121" i="90"/>
  <c r="I140" i="90"/>
  <c r="H121" i="90"/>
  <c r="H140" i="90"/>
  <c r="O79" i="90"/>
  <c r="P79" i="90" s="1"/>
  <c r="Q79" i="90"/>
  <c r="O80" i="88"/>
  <c r="P80" i="88" s="1"/>
  <c r="Q80" i="88"/>
  <c r="I121" i="88"/>
  <c r="I140" i="88"/>
  <c r="N67" i="88"/>
  <c r="G121" i="88"/>
  <c r="G140" i="88"/>
  <c r="H121" i="88"/>
  <c r="H140" i="88" s="1"/>
  <c r="F121" i="88"/>
  <c r="F140" i="88"/>
  <c r="E121" i="88"/>
  <c r="E140" i="88" s="1"/>
  <c r="J21" i="87"/>
  <c r="O20" i="87"/>
  <c r="O22" i="87" s="1"/>
  <c r="O27" i="87" s="1"/>
  <c r="O57" i="87" s="1"/>
  <c r="G20" i="87"/>
  <c r="G22" i="87" s="1"/>
  <c r="G27" i="87" s="1"/>
  <c r="G57" i="87" s="1"/>
  <c r="N20" i="87"/>
  <c r="N22" i="87" s="1"/>
  <c r="N27" i="87" s="1"/>
  <c r="N57" i="87" s="1"/>
  <c r="S21" i="87"/>
  <c r="P20" i="87"/>
  <c r="L21" i="87"/>
  <c r="L22" i="87" s="1"/>
  <c r="L27" i="87" s="1"/>
  <c r="L57" i="87" s="1"/>
  <c r="H20" i="87"/>
  <c r="H22" i="87" s="1"/>
  <c r="H27" i="87" s="1"/>
  <c r="H57" i="87" s="1"/>
  <c r="M20" i="87"/>
  <c r="M22" i="87" s="1"/>
  <c r="M27" i="87" s="1"/>
  <c r="M57" i="87" s="1"/>
  <c r="K20" i="87"/>
  <c r="K22" i="87" s="1"/>
  <c r="K27" i="87" s="1"/>
  <c r="K57" i="87" s="1"/>
  <c r="Q21" i="87"/>
  <c r="Q22" i="87" s="1"/>
  <c r="Q27" i="87" s="1"/>
  <c r="Q57" i="87" s="1"/>
  <c r="I21" i="87"/>
  <c r="I22" i="87" s="1"/>
  <c r="I27" i="87" s="1"/>
  <c r="I57" i="87" s="1"/>
  <c r="J22" i="87"/>
  <c r="J27" i="87" s="1"/>
  <c r="J57" i="87" s="1"/>
  <c r="F58" i="87"/>
  <c r="E27" i="86"/>
  <c r="F26" i="86"/>
  <c r="F27" i="86" s="1"/>
  <c r="E10" i="86"/>
  <c r="F9" i="86"/>
  <c r="F10" i="86" s="1"/>
  <c r="O81" i="100" l="1"/>
  <c r="P81" i="100" s="1"/>
  <c r="Q81" i="100" s="1"/>
  <c r="M64" i="100"/>
  <c r="M65" i="100" s="1"/>
  <c r="M66" i="100" s="1"/>
  <c r="M67" i="100" s="1"/>
  <c r="G67" i="100"/>
  <c r="N64" i="100" s="1"/>
  <c r="L11" i="99"/>
  <c r="M14" i="99"/>
  <c r="K32" i="99"/>
  <c r="N32" i="99"/>
  <c r="J33" i="99" s="1"/>
  <c r="H53" i="97"/>
  <c r="I53" i="97" s="1"/>
  <c r="J53" i="97" s="1"/>
  <c r="K53" i="97" s="1"/>
  <c r="L53" i="97" s="1"/>
  <c r="M53" i="97" s="1"/>
  <c r="N53" i="97" s="1"/>
  <c r="O53" i="97" s="1"/>
  <c r="P53" i="97" s="1"/>
  <c r="Q53" i="97" s="1"/>
  <c r="Z16" i="97"/>
  <c r="Z15" i="97"/>
  <c r="Z17" i="97" s="1"/>
  <c r="Z22" i="97" s="1"/>
  <c r="Z52" i="97" s="1"/>
  <c r="U16" i="97"/>
  <c r="U15" i="97"/>
  <c r="U17" i="97" s="1"/>
  <c r="U22" i="97" s="1"/>
  <c r="U52" i="97" s="1"/>
  <c r="V15" i="97"/>
  <c r="V17" i="97" s="1"/>
  <c r="V22" i="97" s="1"/>
  <c r="V52" i="97" s="1"/>
  <c r="V16" i="97"/>
  <c r="R17" i="97"/>
  <c r="R22" i="97" s="1"/>
  <c r="R52" i="97" s="1"/>
  <c r="R16" i="97"/>
  <c r="R15" i="97"/>
  <c r="O81" i="96"/>
  <c r="P81" i="96" s="1"/>
  <c r="Q81" i="96"/>
  <c r="N67" i="96"/>
  <c r="I147" i="96"/>
  <c r="I148" i="96" s="1"/>
  <c r="I158" i="96" s="1"/>
  <c r="J158" i="96" s="1"/>
  <c r="M14" i="95"/>
  <c r="K32" i="95"/>
  <c r="M32" i="95" s="1"/>
  <c r="M39" i="95" s="1"/>
  <c r="N32" i="95"/>
  <c r="J33" i="95" s="1"/>
  <c r="N12" i="95"/>
  <c r="J13" i="95" s="1"/>
  <c r="G69" i="94"/>
  <c r="F70" i="94" s="1"/>
  <c r="K22" i="94"/>
  <c r="K53" i="94"/>
  <c r="J54" i="94"/>
  <c r="K46" i="94"/>
  <c r="I10" i="94"/>
  <c r="H13" i="94"/>
  <c r="H42" i="94" s="1"/>
  <c r="H64" i="94" s="1"/>
  <c r="H65" i="94" s="1"/>
  <c r="L20" i="94"/>
  <c r="L52" i="94"/>
  <c r="M55" i="94"/>
  <c r="M24" i="94"/>
  <c r="K49" i="94"/>
  <c r="K18" i="94"/>
  <c r="K16" i="94"/>
  <c r="K47" i="94"/>
  <c r="L67" i="91"/>
  <c r="M67" i="91"/>
  <c r="G67" i="91"/>
  <c r="N64" i="91" s="1"/>
  <c r="N65" i="91" s="1"/>
  <c r="N66" i="91" s="1"/>
  <c r="N67" i="91" s="1"/>
  <c r="H147" i="91"/>
  <c r="H148" i="91" s="1"/>
  <c r="H158" i="91" s="1"/>
  <c r="I147" i="91"/>
  <c r="I148" i="91" s="1"/>
  <c r="I158" i="91" s="1"/>
  <c r="G147" i="91"/>
  <c r="G148" i="91" s="1"/>
  <c r="G158" i="91" s="1"/>
  <c r="F147" i="91"/>
  <c r="F148" i="91" s="1"/>
  <c r="F158" i="91" s="1"/>
  <c r="E147" i="91"/>
  <c r="E148" i="91" s="1"/>
  <c r="E158" i="91" s="1"/>
  <c r="O80" i="91"/>
  <c r="P80" i="91" s="1"/>
  <c r="Q80" i="91" s="1"/>
  <c r="O80" i="90"/>
  <c r="P80" i="90" s="1"/>
  <c r="Q80" i="90" s="1"/>
  <c r="E141" i="90"/>
  <c r="E142" i="90" s="1"/>
  <c r="E152" i="90" s="1"/>
  <c r="H142" i="90"/>
  <c r="H152" i="90" s="1"/>
  <c r="H141" i="90"/>
  <c r="G141" i="90"/>
  <c r="G142" i="90" s="1"/>
  <c r="G152" i="90" s="1"/>
  <c r="F141" i="90"/>
  <c r="F142" i="90" s="1"/>
  <c r="F152" i="90" s="1"/>
  <c r="I141" i="90"/>
  <c r="I142" i="90" s="1"/>
  <c r="I152" i="90" s="1"/>
  <c r="H141" i="88"/>
  <c r="E141" i="88"/>
  <c r="I141" i="88"/>
  <c r="G141" i="88"/>
  <c r="O81" i="88"/>
  <c r="P81" i="88" s="1"/>
  <c r="Q81" i="88" s="1"/>
  <c r="F141" i="88"/>
  <c r="P21" i="87"/>
  <c r="P22" i="87" s="1"/>
  <c r="P27" i="87" s="1"/>
  <c r="P57" i="87" s="1"/>
  <c r="S20" i="87"/>
  <c r="S22" i="87" s="1"/>
  <c r="S27" i="87" s="1"/>
  <c r="S57" i="87" s="1"/>
  <c r="G58" i="87"/>
  <c r="H58" i="87" s="1"/>
  <c r="I58" i="87" s="1"/>
  <c r="J58" i="87" s="1"/>
  <c r="K58" i="87" s="1"/>
  <c r="L58" i="87" s="1"/>
  <c r="M58" i="87" s="1"/>
  <c r="N58" i="87" s="1"/>
  <c r="O58" i="87" s="1"/>
  <c r="O82" i="100" l="1"/>
  <c r="P82" i="100" s="1"/>
  <c r="Q82" i="100" s="1"/>
  <c r="N65" i="100"/>
  <c r="N66" i="100" s="1"/>
  <c r="N67" i="100" s="1"/>
  <c r="N33" i="99"/>
  <c r="J34" i="99" s="1"/>
  <c r="K33" i="99"/>
  <c r="M33" i="99" s="1"/>
  <c r="N11" i="99"/>
  <c r="J12" i="99" s="1"/>
  <c r="M15" i="99"/>
  <c r="M32" i="99"/>
  <c r="M39" i="99" s="1"/>
  <c r="K39" i="99"/>
  <c r="R53" i="97"/>
  <c r="O82" i="96"/>
  <c r="P82" i="96" s="1"/>
  <c r="Q82" i="96"/>
  <c r="K13" i="95"/>
  <c r="L13" i="95" s="1"/>
  <c r="N13" i="95" s="1"/>
  <c r="J14" i="95" s="1"/>
  <c r="M15" i="95"/>
  <c r="N33" i="95"/>
  <c r="J34" i="95" s="1"/>
  <c r="K33" i="95"/>
  <c r="M33" i="95" s="1"/>
  <c r="K39" i="95"/>
  <c r="L16" i="94"/>
  <c r="L47" i="94"/>
  <c r="I13" i="94"/>
  <c r="I42" i="94" s="1"/>
  <c r="I64" i="94" s="1"/>
  <c r="I65" i="94" s="1"/>
  <c r="J10" i="94"/>
  <c r="L53" i="94"/>
  <c r="L22" i="94"/>
  <c r="L49" i="94"/>
  <c r="L18" i="94"/>
  <c r="K54" i="94"/>
  <c r="L46" i="94"/>
  <c r="N55" i="94"/>
  <c r="N24" i="94"/>
  <c r="M52" i="94"/>
  <c r="M20" i="94"/>
  <c r="G70" i="94"/>
  <c r="F71" i="94" s="1"/>
  <c r="O81" i="91"/>
  <c r="P81" i="91" s="1"/>
  <c r="Q81" i="91" s="1"/>
  <c r="J158" i="91"/>
  <c r="J152" i="90"/>
  <c r="O81" i="90"/>
  <c r="P81" i="90" s="1"/>
  <c r="Q81" i="90" s="1"/>
  <c r="O82" i="88"/>
  <c r="P82" i="88" s="1"/>
  <c r="Q82" i="88"/>
  <c r="J152" i="88"/>
  <c r="P58" i="87"/>
  <c r="Q58" i="87" s="1"/>
  <c r="R20" i="87"/>
  <c r="R21" i="87"/>
  <c r="U20" i="87"/>
  <c r="U21" i="87"/>
  <c r="K12" i="99" l="1"/>
  <c r="M16" i="99"/>
  <c r="K34" i="99"/>
  <c r="M34" i="99" s="1"/>
  <c r="N34" i="99"/>
  <c r="J35" i="99" s="1"/>
  <c r="S53" i="97"/>
  <c r="T53" i="97" s="1"/>
  <c r="U53" i="97" s="1"/>
  <c r="V53" i="97" s="1"/>
  <c r="W53" i="97" s="1"/>
  <c r="X53" i="97" s="1"/>
  <c r="Y53" i="97" s="1"/>
  <c r="Z53" i="97" s="1"/>
  <c r="AA53" i="97" s="1"/>
  <c r="AB53" i="97" s="1"/>
  <c r="F59" i="97"/>
  <c r="J69" i="97" s="1"/>
  <c r="I70" i="97" s="1"/>
  <c r="K14" i="95"/>
  <c r="L14" i="95" s="1"/>
  <c r="N14" i="95" s="1"/>
  <c r="J15" i="95" s="1"/>
  <c r="M16" i="95"/>
  <c r="N34" i="95"/>
  <c r="J35" i="95" s="1"/>
  <c r="K34" i="95"/>
  <c r="M34" i="95" s="1"/>
  <c r="G71" i="94"/>
  <c r="F72" i="94" s="1"/>
  <c r="N52" i="94"/>
  <c r="N20" i="94"/>
  <c r="L54" i="94"/>
  <c r="M46" i="94"/>
  <c r="M53" i="94"/>
  <c r="M22" i="94"/>
  <c r="M47" i="94"/>
  <c r="M16" i="94"/>
  <c r="M49" i="94"/>
  <c r="M18" i="94"/>
  <c r="K10" i="94"/>
  <c r="J13" i="94"/>
  <c r="J42" i="94" s="1"/>
  <c r="J64" i="94" s="1"/>
  <c r="J65" i="94" s="1"/>
  <c r="O82" i="91"/>
  <c r="P82" i="91" s="1"/>
  <c r="Q82" i="91" s="1"/>
  <c r="O82" i="90"/>
  <c r="P82" i="90" s="1"/>
  <c r="Q82" i="90" s="1"/>
  <c r="U22" i="87"/>
  <c r="U27" i="87" s="1"/>
  <c r="U57" i="87" s="1"/>
  <c r="R22" i="87"/>
  <c r="R27" i="87" s="1"/>
  <c r="R57" i="87" s="1"/>
  <c r="R58" i="87" s="1"/>
  <c r="W21" i="87"/>
  <c r="W20" i="87"/>
  <c r="W22" i="87" s="1"/>
  <c r="W27" i="87" s="1"/>
  <c r="W57" i="87" s="1"/>
  <c r="T21" i="87"/>
  <c r="T20" i="87"/>
  <c r="M17" i="99" l="1"/>
  <c r="K35" i="99"/>
  <c r="M35" i="99" s="1"/>
  <c r="N35" i="99"/>
  <c r="J36" i="99" s="1"/>
  <c r="L12" i="99"/>
  <c r="K20" i="99"/>
  <c r="J70" i="97"/>
  <c r="I71" i="97" s="1"/>
  <c r="K15" i="95"/>
  <c r="L15" i="95" s="1"/>
  <c r="N15" i="95" s="1"/>
  <c r="J16" i="95" s="1"/>
  <c r="M17" i="95"/>
  <c r="K35" i="95"/>
  <c r="M35" i="95" s="1"/>
  <c r="N35" i="95"/>
  <c r="J36" i="95" s="1"/>
  <c r="G72" i="94"/>
  <c r="F73" i="94" s="1"/>
  <c r="N46" i="94"/>
  <c r="M54" i="94"/>
  <c r="L10" i="94"/>
  <c r="K13" i="94"/>
  <c r="K42" i="94" s="1"/>
  <c r="K64" i="94" s="1"/>
  <c r="K65" i="94" s="1"/>
  <c r="N47" i="94"/>
  <c r="N16" i="94"/>
  <c r="N18" i="94"/>
  <c r="N49" i="94"/>
  <c r="N22" i="94"/>
  <c r="N53" i="94"/>
  <c r="T22" i="87"/>
  <c r="T27" i="87" s="1"/>
  <c r="T57" i="87" s="1"/>
  <c r="S58" i="87"/>
  <c r="V21" i="87"/>
  <c r="V20" i="87"/>
  <c r="Y20" i="87"/>
  <c r="Y21" i="87"/>
  <c r="K36" i="99" l="1"/>
  <c r="M36" i="99" s="1"/>
  <c r="N36" i="99"/>
  <c r="J37" i="99" s="1"/>
  <c r="M18" i="99"/>
  <c r="L20" i="99"/>
  <c r="N12" i="99"/>
  <c r="J13" i="99" s="1"/>
  <c r="J71" i="97"/>
  <c r="I72" i="97" s="1"/>
  <c r="M18" i="95"/>
  <c r="K36" i="95"/>
  <c r="M36" i="95" s="1"/>
  <c r="N36" i="95"/>
  <c r="J37" i="95" s="1"/>
  <c r="K16" i="95"/>
  <c r="L16" i="95" s="1"/>
  <c r="N16" i="95" s="1"/>
  <c r="J17" i="95" s="1"/>
  <c r="G73" i="94"/>
  <c r="F74" i="94" s="1"/>
  <c r="G74" i="94" s="1"/>
  <c r="N54" i="94"/>
  <c r="L13" i="94"/>
  <c r="L42" i="94" s="1"/>
  <c r="L64" i="94" s="1"/>
  <c r="L65" i="94" s="1"/>
  <c r="M10" i="94"/>
  <c r="T58" i="87"/>
  <c r="U58" i="87" s="1"/>
  <c r="Y22" i="87"/>
  <c r="Y27" i="87" s="1"/>
  <c r="Y57" i="87" s="1"/>
  <c r="V22" i="87"/>
  <c r="V27" i="87" s="1"/>
  <c r="V57" i="87" s="1"/>
  <c r="X20" i="87"/>
  <c r="X21" i="87"/>
  <c r="AA20" i="87"/>
  <c r="AA21" i="87"/>
  <c r="M19" i="99" l="1"/>
  <c r="K13" i="99"/>
  <c r="L13" i="99" s="1"/>
  <c r="N13" i="99"/>
  <c r="J14" i="99" s="1"/>
  <c r="N37" i="99"/>
  <c r="J38" i="99" s="1"/>
  <c r="K37" i="99"/>
  <c r="M37" i="99" s="1"/>
  <c r="J72" i="97"/>
  <c r="I73" i="97" s="1"/>
  <c r="K17" i="95"/>
  <c r="L17" i="95" s="1"/>
  <c r="N17" i="95"/>
  <c r="J18" i="95" s="1"/>
  <c r="M19" i="95"/>
  <c r="N37" i="95"/>
  <c r="J38" i="95" s="1"/>
  <c r="K37" i="95"/>
  <c r="M37" i="95" s="1"/>
  <c r="M13" i="94"/>
  <c r="M42" i="94" s="1"/>
  <c r="M64" i="94" s="1"/>
  <c r="M65" i="94" s="1"/>
  <c r="N10" i="94"/>
  <c r="N13" i="94" s="1"/>
  <c r="N42" i="94" s="1"/>
  <c r="N64" i="94" s="1"/>
  <c r="V58" i="87"/>
  <c r="W58" i="87" s="1"/>
  <c r="X22" i="87"/>
  <c r="X27" i="87" s="1"/>
  <c r="X57" i="87" s="1"/>
  <c r="AA22" i="87"/>
  <c r="AA27" i="87" s="1"/>
  <c r="AA57" i="87" s="1"/>
  <c r="Z20" i="87"/>
  <c r="Z21" i="87"/>
  <c r="N65" i="94" l="1"/>
  <c r="K14" i="99"/>
  <c r="L14" i="99" s="1"/>
  <c r="N14" i="99" s="1"/>
  <c r="J15" i="99" s="1"/>
  <c r="K38" i="99"/>
  <c r="M38" i="99" s="1"/>
  <c r="N38" i="99"/>
  <c r="J73" i="97"/>
  <c r="I74" i="97"/>
  <c r="J74" i="97" s="1"/>
  <c r="K18" i="95"/>
  <c r="L18" i="95" s="1"/>
  <c r="N18" i="95" s="1"/>
  <c r="J19" i="95" s="1"/>
  <c r="K38" i="95"/>
  <c r="M38" i="95" s="1"/>
  <c r="N38" i="95"/>
  <c r="X58" i="87"/>
  <c r="Y58" i="87" s="1"/>
  <c r="Z22" i="87"/>
  <c r="Z27" i="87" s="1"/>
  <c r="Z57" i="87" s="1"/>
  <c r="Z58" i="87" s="1"/>
  <c r="AA58" i="87" s="1"/>
  <c r="AB21" i="87"/>
  <c r="AB20" i="87"/>
  <c r="K15" i="99" l="1"/>
  <c r="L15" i="99" s="1"/>
  <c r="N15" i="99"/>
  <c r="J16" i="99" s="1"/>
  <c r="K19" i="95"/>
  <c r="L19" i="95" s="1"/>
  <c r="N19" i="95" s="1"/>
  <c r="AB22" i="87"/>
  <c r="AB27" i="87" s="1"/>
  <c r="AB57" i="87" s="1"/>
  <c r="AB58" i="87" s="1"/>
  <c r="F64" i="87" s="1"/>
  <c r="J74" i="87" s="1"/>
  <c r="I75" i="87" s="1"/>
  <c r="J75" i="87" s="1"/>
  <c r="I76" i="87" s="1"/>
  <c r="J76" i="87" s="1"/>
  <c r="I77" i="87" s="1"/>
  <c r="J77" i="87" s="1"/>
  <c r="I78" i="87" s="1"/>
  <c r="J78" i="87" s="1"/>
  <c r="I79" i="87" s="1"/>
  <c r="J79" i="87" s="1"/>
  <c r="K16" i="99" l="1"/>
  <c r="L16" i="99" s="1"/>
  <c r="N16" i="99"/>
  <c r="J17" i="99" s="1"/>
  <c r="K17" i="99" l="1"/>
  <c r="L17" i="99" s="1"/>
  <c r="N17" i="99" s="1"/>
  <c r="J18" i="99" s="1"/>
  <c r="K18" i="99" l="1"/>
  <c r="L18" i="99" s="1"/>
  <c r="N18" i="99" s="1"/>
  <c r="J19" i="99" s="1"/>
  <c r="K19" i="99" l="1"/>
  <c r="L19" i="99" s="1"/>
  <c r="N19" i="99" s="1"/>
  <c r="E79" i="72" l="1"/>
  <c r="E78" i="72"/>
  <c r="F115" i="72"/>
  <c r="G115" i="72"/>
  <c r="H115" i="72"/>
  <c r="I115" i="72"/>
  <c r="F116" i="72"/>
  <c r="G116" i="72"/>
  <c r="H116" i="72"/>
  <c r="I116" i="72"/>
  <c r="E116" i="72"/>
  <c r="E115" i="72"/>
  <c r="C90" i="72"/>
  <c r="G89" i="72"/>
  <c r="H89" i="72" s="1"/>
  <c r="J89" i="72" s="1"/>
  <c r="G90" i="72"/>
  <c r="G86" i="72"/>
  <c r="G87" i="72"/>
  <c r="H87" i="72" s="1"/>
  <c r="J87" i="72" s="1"/>
  <c r="G88" i="72"/>
  <c r="H88" i="72" s="1"/>
  <c r="J88" i="72" s="1"/>
  <c r="C86" i="72"/>
  <c r="J48" i="85"/>
  <c r="J5" i="85"/>
  <c r="L50" i="85"/>
  <c r="L49" i="85"/>
  <c r="N48" i="85"/>
  <c r="J49" i="85" s="1"/>
  <c r="N49" i="85" s="1"/>
  <c r="J50" i="85" s="1"/>
  <c r="N50" i="85" s="1"/>
  <c r="N45" i="85"/>
  <c r="B33" i="85"/>
  <c r="J29" i="85"/>
  <c r="N26" i="85"/>
  <c r="J25" i="85" s="1"/>
  <c r="T10" i="85"/>
  <c r="J10" i="85"/>
  <c r="N7" i="85"/>
  <c r="J6" i="85" s="1"/>
  <c r="H90" i="72" l="1"/>
  <c r="J90" i="72" s="1"/>
  <c r="H86" i="72"/>
  <c r="J86" i="72" s="1"/>
  <c r="M10" i="85"/>
  <c r="K10" i="85"/>
  <c r="K29" i="85"/>
  <c r="L29" i="85"/>
  <c r="N29" i="85"/>
  <c r="J30" i="85" s="1"/>
  <c r="K48" i="85"/>
  <c r="K49" i="85" s="1"/>
  <c r="K50" i="85" s="1"/>
  <c r="K86" i="72" l="1"/>
  <c r="M86" i="72" s="1"/>
  <c r="M29" i="85"/>
  <c r="K30" i="85"/>
  <c r="M30" i="85" s="1"/>
  <c r="L30" i="85"/>
  <c r="L31" i="85" s="1"/>
  <c r="L32" i="85" s="1"/>
  <c r="L33" i="85" s="1"/>
  <c r="L34" i="85" s="1"/>
  <c r="L35" i="85" s="1"/>
  <c r="L36" i="85" s="1"/>
  <c r="L37" i="85" s="1"/>
  <c r="L38" i="85" s="1"/>
  <c r="M11" i="85"/>
  <c r="L10" i="85"/>
  <c r="F118" i="72" l="1"/>
  <c r="E118" i="72"/>
  <c r="H118" i="72"/>
  <c r="I118" i="72"/>
  <c r="I121" i="72" s="1"/>
  <c r="G118" i="72"/>
  <c r="N30" i="85"/>
  <c r="J31" i="85" s="1"/>
  <c r="N10" i="85"/>
  <c r="J11" i="85" s="1"/>
  <c r="L39" i="85"/>
  <c r="M12" i="85"/>
  <c r="H121" i="72" l="1"/>
  <c r="E121" i="72"/>
  <c r="G121" i="72"/>
  <c r="F121" i="72"/>
  <c r="K11" i="85"/>
  <c r="M13" i="85"/>
  <c r="K31" i="85"/>
  <c r="N31" i="85"/>
  <c r="J32" i="85" s="1"/>
  <c r="M14" i="85" l="1"/>
  <c r="K32" i="85"/>
  <c r="M32" i="85" s="1"/>
  <c r="N32" i="85"/>
  <c r="J33" i="85" s="1"/>
  <c r="M31" i="85"/>
  <c r="K39" i="85"/>
  <c r="M20" i="85"/>
  <c r="L11" i="85"/>
  <c r="N33" i="85" l="1"/>
  <c r="J34" i="85" s="1"/>
  <c r="K33" i="85"/>
  <c r="M33" i="85" s="1"/>
  <c r="N11" i="85"/>
  <c r="J12" i="85" s="1"/>
  <c r="M39" i="85"/>
  <c r="M15" i="85"/>
  <c r="K12" i="85" l="1"/>
  <c r="M16" i="85"/>
  <c r="K34" i="85"/>
  <c r="M34" i="85" s="1"/>
  <c r="N34" i="85"/>
  <c r="J35" i="85" s="1"/>
  <c r="M17" i="85" l="1"/>
  <c r="K35" i="85"/>
  <c r="M35" i="85" s="1"/>
  <c r="N35" i="85"/>
  <c r="J36" i="85" s="1"/>
  <c r="L12" i="85"/>
  <c r="K20" i="85"/>
  <c r="K36" i="85" l="1"/>
  <c r="M36" i="85" s="1"/>
  <c r="N36" i="85"/>
  <c r="J37" i="85" s="1"/>
  <c r="M18" i="85"/>
  <c r="L20" i="85"/>
  <c r="N12" i="85"/>
  <c r="J13" i="85" s="1"/>
  <c r="M19" i="85" l="1"/>
  <c r="K13" i="85"/>
  <c r="L13" i="85" s="1"/>
  <c r="N13" i="85" s="1"/>
  <c r="J14" i="85" s="1"/>
  <c r="N37" i="85"/>
  <c r="J38" i="85" s="1"/>
  <c r="K37" i="85"/>
  <c r="M37" i="85" s="1"/>
  <c r="K14" i="85" l="1"/>
  <c r="L14" i="85" s="1"/>
  <c r="N14" i="85" s="1"/>
  <c r="J15" i="85" s="1"/>
  <c r="K38" i="85"/>
  <c r="M38" i="85" s="1"/>
  <c r="N38" i="85"/>
  <c r="K15" i="85" l="1"/>
  <c r="L15" i="85" s="1"/>
  <c r="N15" i="85" s="1"/>
  <c r="J16" i="85" s="1"/>
  <c r="K16" i="85" l="1"/>
  <c r="L16" i="85" s="1"/>
  <c r="N16" i="85" s="1"/>
  <c r="J17" i="85" s="1"/>
  <c r="K17" i="85" l="1"/>
  <c r="L17" i="85" s="1"/>
  <c r="N17" i="85" s="1"/>
  <c r="J18" i="85" s="1"/>
  <c r="K18" i="85" l="1"/>
  <c r="L18" i="85" s="1"/>
  <c r="N18" i="85" s="1"/>
  <c r="J19" i="85" s="1"/>
  <c r="K19" i="85" l="1"/>
  <c r="L19" i="85" s="1"/>
  <c r="N19" i="85"/>
  <c r="O70" i="72" l="1"/>
  <c r="D148" i="72"/>
  <c r="D148" i="68"/>
  <c r="G13" i="78"/>
  <c r="H13" i="78"/>
  <c r="I13" i="78"/>
  <c r="J13" i="78"/>
  <c r="K13" i="78"/>
  <c r="L13" i="78"/>
  <c r="M13" i="78"/>
  <c r="N13" i="78"/>
  <c r="O13" i="78"/>
  <c r="P13" i="78"/>
  <c r="Q13" i="78"/>
  <c r="R13" i="78"/>
  <c r="S13" i="78"/>
  <c r="T13" i="78"/>
  <c r="U13" i="78"/>
  <c r="V13" i="78"/>
  <c r="W13" i="78"/>
  <c r="X13" i="78"/>
  <c r="Y13" i="78"/>
  <c r="Z13" i="78"/>
  <c r="AA13" i="78"/>
  <c r="AB13" i="78"/>
  <c r="F13" i="78"/>
  <c r="E13" i="78"/>
  <c r="E15" i="78" s="1"/>
  <c r="F7" i="78"/>
  <c r="G7" i="78"/>
  <c r="H7" i="78"/>
  <c r="I7" i="78"/>
  <c r="J7" i="78"/>
  <c r="K7" i="78"/>
  <c r="L7" i="78"/>
  <c r="M7" i="78"/>
  <c r="N7" i="78"/>
  <c r="O7" i="78"/>
  <c r="P7" i="78"/>
  <c r="Q7" i="78"/>
  <c r="R7" i="78"/>
  <c r="S7" i="78"/>
  <c r="T7" i="78"/>
  <c r="U7" i="78"/>
  <c r="V7" i="78"/>
  <c r="W7" i="78"/>
  <c r="X7" i="78"/>
  <c r="Y7" i="78"/>
  <c r="Z7" i="78"/>
  <c r="AA7" i="78"/>
  <c r="AB7" i="78"/>
  <c r="E7" i="78"/>
  <c r="I126" i="71"/>
  <c r="F126" i="71"/>
  <c r="G126" i="71"/>
  <c r="H126" i="71"/>
  <c r="E126" i="71"/>
  <c r="F131" i="72" l="1"/>
  <c r="E131" i="72"/>
  <c r="H131" i="72"/>
  <c r="E132" i="72"/>
  <c r="G131" i="72"/>
  <c r="I110" i="72"/>
  <c r="F132" i="72"/>
  <c r="F135" i="72" s="1"/>
  <c r="I131" i="72"/>
  <c r="I143" i="72" s="1"/>
  <c r="D146" i="72"/>
  <c r="D152" i="72" s="1"/>
  <c r="Q77" i="72"/>
  <c r="H140" i="72" l="1"/>
  <c r="H143" i="72"/>
  <c r="I140" i="72"/>
  <c r="E140" i="72"/>
  <c r="E143" i="72"/>
  <c r="G140" i="72"/>
  <c r="G143" i="72"/>
  <c r="F143" i="72"/>
  <c r="F140" i="72"/>
  <c r="E141" i="72" l="1"/>
  <c r="E142" i="72" s="1"/>
  <c r="G141" i="72"/>
  <c r="F141" i="72"/>
  <c r="F142" i="72" s="1"/>
  <c r="I142" i="72"/>
  <c r="I141" i="72"/>
  <c r="H141" i="72"/>
  <c r="H142" i="72" l="1"/>
  <c r="G142" i="72"/>
  <c r="E142" i="71" l="1"/>
  <c r="F142" i="71"/>
  <c r="G142" i="71"/>
  <c r="H142" i="71"/>
  <c r="I142" i="71"/>
  <c r="J5" i="82"/>
  <c r="D149" i="81"/>
  <c r="L52" i="82" l="1"/>
  <c r="L49" i="82"/>
  <c r="N48" i="82"/>
  <c r="J49" i="82" s="1"/>
  <c r="N49" i="82" s="1"/>
  <c r="J50" i="82" s="1"/>
  <c r="N50" i="82" s="1"/>
  <c r="J51" i="82" s="1"/>
  <c r="N51" i="82" s="1"/>
  <c r="J52" i="82" s="1"/>
  <c r="N52" i="82" s="1"/>
  <c r="J48" i="82"/>
  <c r="K48" i="82" s="1"/>
  <c r="K49" i="82" s="1"/>
  <c r="K50" i="82" s="1"/>
  <c r="K51" i="82" s="1"/>
  <c r="K52" i="82" s="1"/>
  <c r="N45" i="82"/>
  <c r="J44" i="82"/>
  <c r="M51" i="82" s="1"/>
  <c r="B33" i="82"/>
  <c r="L29" i="82"/>
  <c r="J29" i="82"/>
  <c r="K29" i="82" s="1"/>
  <c r="N26" i="82"/>
  <c r="J25" i="82"/>
  <c r="T10" i="82"/>
  <c r="J10" i="82"/>
  <c r="K10" i="82" s="1"/>
  <c r="J6" i="82"/>
  <c r="M10" i="82" s="1"/>
  <c r="H130" i="81"/>
  <c r="H142" i="81" s="1"/>
  <c r="F130" i="81"/>
  <c r="F142" i="81" s="1"/>
  <c r="G130" i="81"/>
  <c r="G142" i="81" s="1"/>
  <c r="E130" i="81"/>
  <c r="E142" i="81" s="1"/>
  <c r="L201" i="81"/>
  <c r="O200" i="81" s="1"/>
  <c r="P200" i="81" s="1"/>
  <c r="D201" i="81"/>
  <c r="N195" i="81"/>
  <c r="N192" i="81"/>
  <c r="N189" i="81"/>
  <c r="C186" i="81"/>
  <c r="H177" i="81"/>
  <c r="C177" i="81"/>
  <c r="J169" i="81"/>
  <c r="I152" i="81"/>
  <c r="D147" i="81"/>
  <c r="D146" i="81"/>
  <c r="I118" i="81"/>
  <c r="H118" i="81"/>
  <c r="G118" i="81"/>
  <c r="F118" i="81"/>
  <c r="E118" i="81"/>
  <c r="I117" i="81"/>
  <c r="H117" i="81"/>
  <c r="G117" i="81"/>
  <c r="F117" i="81"/>
  <c r="E117" i="81"/>
  <c r="I111" i="81"/>
  <c r="I109" i="81"/>
  <c r="H109" i="81"/>
  <c r="G109" i="81"/>
  <c r="F109" i="81"/>
  <c r="E109" i="81"/>
  <c r="I107" i="81"/>
  <c r="I122" i="81" s="1"/>
  <c r="E103" i="81"/>
  <c r="D144" i="81"/>
  <c r="D153" i="81" s="1"/>
  <c r="J92" i="81"/>
  <c r="G92" i="81"/>
  <c r="H92" i="81" s="1"/>
  <c r="G91" i="81"/>
  <c r="H91" i="81" s="1"/>
  <c r="J91" i="81" s="1"/>
  <c r="J90" i="81"/>
  <c r="I89" i="81"/>
  <c r="J89" i="81" s="1"/>
  <c r="G88" i="81"/>
  <c r="H88" i="81" s="1"/>
  <c r="J88" i="81" s="1"/>
  <c r="G87" i="81"/>
  <c r="H87" i="81" s="1"/>
  <c r="J87" i="81" s="1"/>
  <c r="G86" i="81"/>
  <c r="H86" i="81" s="1"/>
  <c r="J86" i="81" s="1"/>
  <c r="G81" i="81"/>
  <c r="G80" i="81"/>
  <c r="H80" i="81" s="1"/>
  <c r="G78" i="81"/>
  <c r="O70" i="81"/>
  <c r="P70" i="81" s="1"/>
  <c r="J67" i="81"/>
  <c r="J64" i="81"/>
  <c r="G64" i="81"/>
  <c r="G65" i="81" s="1"/>
  <c r="G62" i="81"/>
  <c r="M14" i="81"/>
  <c r="I125" i="71"/>
  <c r="I124" i="71"/>
  <c r="H124" i="71"/>
  <c r="F124" i="71"/>
  <c r="G124" i="71"/>
  <c r="E124" i="71"/>
  <c r="I151" i="71"/>
  <c r="I122" i="71"/>
  <c r="I108" i="71"/>
  <c r="I107" i="71"/>
  <c r="R24" i="80"/>
  <c r="Q24" i="80"/>
  <c r="Q27" i="80"/>
  <c r="G64" i="71"/>
  <c r="G65" i="71" s="1"/>
  <c r="G66" i="71" s="1"/>
  <c r="G67" i="71" s="1"/>
  <c r="J64" i="71"/>
  <c r="N28" i="80"/>
  <c r="P28" i="80"/>
  <c r="O28" i="80"/>
  <c r="E79" i="80"/>
  <c r="H69" i="80"/>
  <c r="H79" i="80" s="1"/>
  <c r="G69" i="80"/>
  <c r="G79" i="80" s="1"/>
  <c r="F69" i="80"/>
  <c r="F79" i="80" s="1"/>
  <c r="E69" i="80"/>
  <c r="D69" i="80"/>
  <c r="D79" i="80" s="1"/>
  <c r="E39" i="80"/>
  <c r="E38" i="80"/>
  <c r="E37" i="80"/>
  <c r="E36" i="80"/>
  <c r="E35" i="80"/>
  <c r="C27" i="80"/>
  <c r="B27" i="80"/>
  <c r="D26" i="80"/>
  <c r="D27" i="80" s="1"/>
  <c r="F25" i="80"/>
  <c r="F24" i="80"/>
  <c r="E24" i="80"/>
  <c r="E25" i="80" s="1"/>
  <c r="F12" i="80"/>
  <c r="E12" i="80"/>
  <c r="D12" i="80"/>
  <c r="C12" i="80"/>
  <c r="B12" i="80"/>
  <c r="C10" i="80"/>
  <c r="B10" i="80"/>
  <c r="D9" i="80"/>
  <c r="D10" i="80" s="1"/>
  <c r="C9" i="80"/>
  <c r="G81" i="71"/>
  <c r="G80" i="71"/>
  <c r="H80" i="71" s="1"/>
  <c r="G78" i="71"/>
  <c r="G39" i="79"/>
  <c r="G38" i="79"/>
  <c r="G37" i="79"/>
  <c r="G36" i="79"/>
  <c r="L9" i="79"/>
  <c r="H9" i="79"/>
  <c r="D8" i="79"/>
  <c r="D7" i="79"/>
  <c r="D36" i="79" s="1"/>
  <c r="J94" i="78"/>
  <c r="G94" i="78"/>
  <c r="H94" i="78" s="1"/>
  <c r="J93" i="78"/>
  <c r="G93" i="78"/>
  <c r="H93" i="78" s="1"/>
  <c r="J92" i="78"/>
  <c r="G92" i="78"/>
  <c r="H92" i="78" s="1"/>
  <c r="J91" i="78"/>
  <c r="G91" i="78"/>
  <c r="H91" i="78" s="1"/>
  <c r="G90" i="78"/>
  <c r="H90" i="78" s="1"/>
  <c r="J90" i="78" s="1"/>
  <c r="F85" i="78"/>
  <c r="F84" i="78"/>
  <c r="F83" i="78"/>
  <c r="D72" i="78"/>
  <c r="AB48" i="78"/>
  <c r="AA48" i="78"/>
  <c r="Z48" i="78"/>
  <c r="Y48" i="78"/>
  <c r="X48" i="78"/>
  <c r="W48" i="78"/>
  <c r="V48" i="78"/>
  <c r="U48" i="78"/>
  <c r="T48" i="78"/>
  <c r="S48" i="78"/>
  <c r="R48" i="78"/>
  <c r="Q48" i="78"/>
  <c r="P48" i="78"/>
  <c r="O48" i="78"/>
  <c r="N48" i="78"/>
  <c r="M48" i="78"/>
  <c r="L48" i="78"/>
  <c r="K48" i="78"/>
  <c r="J48" i="78"/>
  <c r="I48" i="78"/>
  <c r="H48" i="78"/>
  <c r="G48" i="78"/>
  <c r="F48" i="78"/>
  <c r="E48" i="78"/>
  <c r="AB46" i="78"/>
  <c r="AA46" i="78"/>
  <c r="Z46" i="78"/>
  <c r="Y46" i="78"/>
  <c r="X46" i="78"/>
  <c r="W46" i="78"/>
  <c r="V46" i="78"/>
  <c r="U46" i="78"/>
  <c r="T46" i="78"/>
  <c r="S46" i="78"/>
  <c r="R46" i="78"/>
  <c r="Q46" i="78"/>
  <c r="P46" i="78"/>
  <c r="O46" i="78"/>
  <c r="N46" i="78"/>
  <c r="M46" i="78"/>
  <c r="L46" i="78"/>
  <c r="K46" i="78"/>
  <c r="J46" i="78"/>
  <c r="I46" i="78"/>
  <c r="H46" i="78"/>
  <c r="G46" i="78"/>
  <c r="F46" i="78"/>
  <c r="E46" i="78"/>
  <c r="AB45" i="78"/>
  <c r="AA45" i="78"/>
  <c r="Z45" i="78"/>
  <c r="Y45" i="78"/>
  <c r="X45" i="78"/>
  <c r="W45" i="78"/>
  <c r="V45" i="78"/>
  <c r="U45" i="78"/>
  <c r="T45" i="78"/>
  <c r="S45" i="78"/>
  <c r="R45" i="78"/>
  <c r="Q45" i="78"/>
  <c r="P45" i="78"/>
  <c r="O45" i="78"/>
  <c r="N45" i="78"/>
  <c r="M45" i="78"/>
  <c r="L45" i="78"/>
  <c r="K45" i="78"/>
  <c r="J45" i="78"/>
  <c r="I45" i="78"/>
  <c r="H45" i="78"/>
  <c r="G45" i="78"/>
  <c r="F45" i="78"/>
  <c r="E45" i="78"/>
  <c r="AB44" i="78"/>
  <c r="AA44" i="78"/>
  <c r="Z44" i="78"/>
  <c r="Y44" i="78"/>
  <c r="X44" i="78"/>
  <c r="W44" i="78"/>
  <c r="V44" i="78"/>
  <c r="U44" i="78"/>
  <c r="T44" i="78"/>
  <c r="S44" i="78"/>
  <c r="R44" i="78"/>
  <c r="Q44" i="78"/>
  <c r="P44" i="78"/>
  <c r="O44" i="78"/>
  <c r="N44" i="78"/>
  <c r="M44" i="78"/>
  <c r="L44" i="78"/>
  <c r="K44" i="78"/>
  <c r="J44" i="78"/>
  <c r="I44" i="78"/>
  <c r="H44" i="78"/>
  <c r="G44" i="78"/>
  <c r="F44" i="78"/>
  <c r="AB43" i="78"/>
  <c r="AA43" i="78"/>
  <c r="Z43" i="78"/>
  <c r="Y43" i="78"/>
  <c r="X43" i="78"/>
  <c r="W43" i="78"/>
  <c r="V43" i="78"/>
  <c r="U43" i="78"/>
  <c r="T43" i="78"/>
  <c r="S43" i="78"/>
  <c r="R43" i="78"/>
  <c r="Q43" i="78"/>
  <c r="P43" i="78"/>
  <c r="O43" i="78"/>
  <c r="N43" i="78"/>
  <c r="M43" i="78"/>
  <c r="L43" i="78"/>
  <c r="K43" i="78"/>
  <c r="J43" i="78"/>
  <c r="I43" i="78"/>
  <c r="H43" i="78"/>
  <c r="G43" i="78"/>
  <c r="F43" i="78"/>
  <c r="E43" i="78"/>
  <c r="Y42" i="78"/>
  <c r="AB24" i="78"/>
  <c r="AB33" i="78" s="1"/>
  <c r="AA24" i="78"/>
  <c r="AA34" i="78" s="1"/>
  <c r="Z24" i="78"/>
  <c r="Z34" i="78" s="1"/>
  <c r="Y24" i="78"/>
  <c r="Y33" i="78" s="1"/>
  <c r="X24" i="78"/>
  <c r="X28" i="78" s="1"/>
  <c r="W24" i="78"/>
  <c r="W27" i="78" s="1"/>
  <c r="V24" i="78"/>
  <c r="V34" i="78" s="1"/>
  <c r="U24" i="78"/>
  <c r="U38" i="78" s="1"/>
  <c r="T24" i="78"/>
  <c r="T33" i="78" s="1"/>
  <c r="S24" i="78"/>
  <c r="S34" i="78" s="1"/>
  <c r="R24" i="78"/>
  <c r="R34" i="78" s="1"/>
  <c r="Q24" i="78"/>
  <c r="Q36" i="78" s="1"/>
  <c r="P24" i="78"/>
  <c r="P29" i="78" s="1"/>
  <c r="O24" i="78"/>
  <c r="O28" i="78" s="1"/>
  <c r="N24" i="78"/>
  <c r="N34" i="78" s="1"/>
  <c r="M24" i="78"/>
  <c r="M33" i="78" s="1"/>
  <c r="L24" i="78"/>
  <c r="L29" i="78" s="1"/>
  <c r="K24" i="78"/>
  <c r="K34" i="78" s="1"/>
  <c r="J24" i="78"/>
  <c r="J34" i="78" s="1"/>
  <c r="I24" i="78"/>
  <c r="I36" i="78" s="1"/>
  <c r="H24" i="78"/>
  <c r="H36" i="78" s="1"/>
  <c r="G24" i="78"/>
  <c r="G37" i="78" s="1"/>
  <c r="F24" i="78"/>
  <c r="F34" i="78" s="1"/>
  <c r="E24" i="78"/>
  <c r="AB30" i="78" s="1"/>
  <c r="C13" i="78"/>
  <c r="Y10" i="78"/>
  <c r="R11" i="78"/>
  <c r="Q11" i="78"/>
  <c r="P12" i="78"/>
  <c r="M10" i="78"/>
  <c r="L10" i="78"/>
  <c r="I10" i="78"/>
  <c r="H12" i="78"/>
  <c r="F10" i="78"/>
  <c r="E10" i="78"/>
  <c r="J6" i="77"/>
  <c r="M10" i="77" s="1"/>
  <c r="M11" i="77" s="1"/>
  <c r="J10" i="77"/>
  <c r="T10" i="77"/>
  <c r="N26" i="77"/>
  <c r="J25" i="77" s="1"/>
  <c r="K29" i="77" s="1"/>
  <c r="J29" i="77"/>
  <c r="L29" i="77" s="1"/>
  <c r="B33" i="77"/>
  <c r="N45" i="77"/>
  <c r="J44" i="77" s="1"/>
  <c r="M52" i="77" s="1"/>
  <c r="J48" i="77"/>
  <c r="L49" i="77"/>
  <c r="L52" i="77"/>
  <c r="F148" i="71"/>
  <c r="F145" i="71" s="1"/>
  <c r="M14" i="71"/>
  <c r="F129" i="71"/>
  <c r="E129" i="71"/>
  <c r="F118" i="71"/>
  <c r="G118" i="71"/>
  <c r="H118" i="71"/>
  <c r="I118" i="71"/>
  <c r="E118" i="71"/>
  <c r="F117" i="71"/>
  <c r="G117" i="71"/>
  <c r="H117" i="71"/>
  <c r="I117" i="71"/>
  <c r="E117" i="71"/>
  <c r="J90" i="71"/>
  <c r="I89" i="71"/>
  <c r="J89" i="71" s="1"/>
  <c r="E109" i="71"/>
  <c r="F109" i="71"/>
  <c r="G109" i="71"/>
  <c r="H109" i="71"/>
  <c r="I109" i="71"/>
  <c r="R27" i="80" l="1"/>
  <c r="N188" i="81"/>
  <c r="O189" i="81" s="1"/>
  <c r="N194" i="81"/>
  <c r="O195" i="81" s="1"/>
  <c r="N191" i="81"/>
  <c r="O199" i="81"/>
  <c r="P199" i="81" s="1"/>
  <c r="O192" i="81"/>
  <c r="I125" i="81"/>
  <c r="K86" i="81"/>
  <c r="M86" i="81" s="1"/>
  <c r="G25" i="79"/>
  <c r="E17" i="79"/>
  <c r="G27" i="79"/>
  <c r="G28" i="79"/>
  <c r="G29" i="79"/>
  <c r="M11" i="82"/>
  <c r="L10" i="82"/>
  <c r="M29" i="82"/>
  <c r="M48" i="82"/>
  <c r="L30" i="82"/>
  <c r="L31" i="82" s="1"/>
  <c r="L32" i="82" s="1"/>
  <c r="L33" i="82" s="1"/>
  <c r="L34" i="82" s="1"/>
  <c r="L35" i="82" s="1"/>
  <c r="L36" i="82" s="1"/>
  <c r="L37" i="82" s="1"/>
  <c r="L38" i="82" s="1"/>
  <c r="M50" i="82"/>
  <c r="N29" i="82"/>
  <c r="J30" i="82" s="1"/>
  <c r="M52" i="82"/>
  <c r="M49" i="82"/>
  <c r="I130" i="81"/>
  <c r="I142" i="81" s="1"/>
  <c r="G66" i="81"/>
  <c r="L64" i="81"/>
  <c r="G103" i="81"/>
  <c r="E121" i="81"/>
  <c r="F103" i="81"/>
  <c r="E106" i="81"/>
  <c r="E126" i="81" s="1"/>
  <c r="K64" i="81"/>
  <c r="K65" i="81" s="1"/>
  <c r="K66" i="81" s="1"/>
  <c r="I108" i="81"/>
  <c r="I124" i="81" s="1"/>
  <c r="O198" i="81"/>
  <c r="P198" i="81" s="1"/>
  <c r="P201" i="81" s="1"/>
  <c r="C182" i="81" s="1"/>
  <c r="C175" i="81" s="1"/>
  <c r="K10" i="77"/>
  <c r="L10" i="77" s="1"/>
  <c r="N10" i="77" s="1"/>
  <c r="J11" i="77" s="1"/>
  <c r="G130" i="71"/>
  <c r="D149" i="71"/>
  <c r="D152" i="71" s="1"/>
  <c r="I130" i="71"/>
  <c r="H130" i="71"/>
  <c r="I134" i="71" s="1"/>
  <c r="F86" i="78"/>
  <c r="F11" i="78"/>
  <c r="K90" i="78"/>
  <c r="M90" i="78" s="1"/>
  <c r="L11" i="78"/>
  <c r="Y34" i="78"/>
  <c r="U34" i="78"/>
  <c r="Q34" i="78"/>
  <c r="M34" i="78"/>
  <c r="I34" i="78"/>
  <c r="U36" i="78"/>
  <c r="AB34" i="78"/>
  <c r="X34" i="78"/>
  <c r="T34" i="78"/>
  <c r="P34" i="78"/>
  <c r="L34" i="78"/>
  <c r="H34" i="78"/>
  <c r="W34" i="78"/>
  <c r="O34" i="78"/>
  <c r="G34" i="78"/>
  <c r="E29" i="78"/>
  <c r="I30" i="78"/>
  <c r="E33" i="78"/>
  <c r="M11" i="78"/>
  <c r="O27" i="78"/>
  <c r="L30" i="78"/>
  <c r="I33" i="78"/>
  <c r="M35" i="78"/>
  <c r="X36" i="78"/>
  <c r="I42" i="78"/>
  <c r="T28" i="78"/>
  <c r="Q29" i="78"/>
  <c r="T30" i="78"/>
  <c r="Q33" i="78"/>
  <c r="W37" i="78"/>
  <c r="L42" i="78"/>
  <c r="V11" i="78"/>
  <c r="U28" i="78"/>
  <c r="U29" i="78"/>
  <c r="U30" i="78"/>
  <c r="M36" i="78"/>
  <c r="M38" i="78"/>
  <c r="AB42" i="78"/>
  <c r="H74" i="78"/>
  <c r="H73" i="78"/>
  <c r="X10" i="78"/>
  <c r="H10" i="78"/>
  <c r="N11" i="78"/>
  <c r="AB11" i="78"/>
  <c r="G28" i="78"/>
  <c r="M29" i="78"/>
  <c r="AB29" i="78"/>
  <c r="M30" i="78"/>
  <c r="Y30" i="78"/>
  <c r="L33" i="78"/>
  <c r="U33" i="78"/>
  <c r="U35" i="78"/>
  <c r="P36" i="78"/>
  <c r="Y36" i="78"/>
  <c r="Q42" i="78"/>
  <c r="F15" i="78"/>
  <c r="G27" i="78"/>
  <c r="Y28" i="78"/>
  <c r="E30" i="78"/>
  <c r="Q30" i="78"/>
  <c r="E9" i="80"/>
  <c r="E26" i="80"/>
  <c r="I111" i="71"/>
  <c r="F146" i="71"/>
  <c r="H36" i="79"/>
  <c r="D37" i="79" s="1"/>
  <c r="F36" i="79"/>
  <c r="E15" i="79"/>
  <c r="E19" i="79"/>
  <c r="E16" i="79"/>
  <c r="D15" i="79"/>
  <c r="E18" i="79"/>
  <c r="D25" i="79"/>
  <c r="G26" i="79"/>
  <c r="G11" i="78"/>
  <c r="G10" i="78"/>
  <c r="K11" i="78"/>
  <c r="K10" i="78"/>
  <c r="K12" i="78"/>
  <c r="O11" i="78"/>
  <c r="O12" i="78"/>
  <c r="O10" i="78"/>
  <c r="S11" i="78"/>
  <c r="S12" i="78"/>
  <c r="W11" i="78"/>
  <c r="W10" i="78"/>
  <c r="W12" i="78"/>
  <c r="AA11" i="78"/>
  <c r="AA10" i="78"/>
  <c r="AA12" i="78"/>
  <c r="S10" i="78"/>
  <c r="F33" i="78"/>
  <c r="F35" i="78"/>
  <c r="J36" i="78"/>
  <c r="J33" i="78"/>
  <c r="N36" i="78"/>
  <c r="N33" i="78"/>
  <c r="N37" i="78"/>
  <c r="N29" i="78"/>
  <c r="N38" i="78"/>
  <c r="N35" i="78"/>
  <c r="R36" i="78"/>
  <c r="R33" i="78"/>
  <c r="R29" i="78"/>
  <c r="V36" i="78"/>
  <c r="V33" i="78"/>
  <c r="V37" i="78"/>
  <c r="V28" i="78"/>
  <c r="V38" i="78"/>
  <c r="V35" i="78"/>
  <c r="Z36" i="78"/>
  <c r="Z33" i="78"/>
  <c r="Z28" i="78"/>
  <c r="J29" i="78"/>
  <c r="R38" i="78"/>
  <c r="T10" i="78"/>
  <c r="H11" i="78"/>
  <c r="X11" i="78"/>
  <c r="L12" i="78"/>
  <c r="L15" i="78" s="1"/>
  <c r="T12" i="78"/>
  <c r="AB12" i="78"/>
  <c r="G36" i="78"/>
  <c r="G33" i="78"/>
  <c r="G29" i="78"/>
  <c r="G35" i="78"/>
  <c r="K36" i="78"/>
  <c r="K33" i="78"/>
  <c r="K29" i="78"/>
  <c r="K38" i="78"/>
  <c r="K35" i="78"/>
  <c r="K37" i="78"/>
  <c r="O36" i="78"/>
  <c r="O33" i="78"/>
  <c r="O29" i="78"/>
  <c r="O38" i="78"/>
  <c r="O35" i="78"/>
  <c r="S36" i="78"/>
  <c r="S33" i="78"/>
  <c r="S29" i="78"/>
  <c r="S28" i="78"/>
  <c r="S38" i="78"/>
  <c r="S35" i="78"/>
  <c r="S37" i="78"/>
  <c r="W36" i="78"/>
  <c r="W33" i="78"/>
  <c r="W29" i="78"/>
  <c r="W28" i="78"/>
  <c r="W38" i="78"/>
  <c r="W35" i="78"/>
  <c r="AA36" i="78"/>
  <c r="AA33" i="78"/>
  <c r="AA29" i="78"/>
  <c r="AA28" i="78"/>
  <c r="AA38" i="78"/>
  <c r="AA35" i="78"/>
  <c r="AA37" i="78"/>
  <c r="J27" i="78"/>
  <c r="R27" i="78"/>
  <c r="Z27" i="78"/>
  <c r="J28" i="78"/>
  <c r="R28" i="78"/>
  <c r="R35" i="78"/>
  <c r="J37" i="78"/>
  <c r="Z37" i="78"/>
  <c r="I12" i="78"/>
  <c r="M12" i="78"/>
  <c r="Q12" i="78"/>
  <c r="U12" i="78"/>
  <c r="Y12" i="78"/>
  <c r="P10" i="78"/>
  <c r="U10" i="78"/>
  <c r="I11" i="78"/>
  <c r="T11" i="78"/>
  <c r="Y11" i="78"/>
  <c r="K27" i="78"/>
  <c r="S27" i="78"/>
  <c r="AA27" i="78"/>
  <c r="K28" i="78"/>
  <c r="V29" i="78"/>
  <c r="O37" i="78"/>
  <c r="J38" i="78"/>
  <c r="Z38" i="78"/>
  <c r="J12" i="78"/>
  <c r="J10" i="78"/>
  <c r="N12" i="78"/>
  <c r="N10" i="78"/>
  <c r="R12" i="78"/>
  <c r="R10" i="78"/>
  <c r="V12" i="78"/>
  <c r="V10" i="78"/>
  <c r="Z12" i="78"/>
  <c r="Z10" i="78"/>
  <c r="Q10" i="78"/>
  <c r="AB10" i="78"/>
  <c r="J11" i="78"/>
  <c r="P11" i="78"/>
  <c r="U11" i="78"/>
  <c r="Z11" i="78"/>
  <c r="X12" i="78"/>
  <c r="F27" i="78"/>
  <c r="N27" i="78"/>
  <c r="V27" i="78"/>
  <c r="F28" i="78"/>
  <c r="N28" i="78"/>
  <c r="F29" i="78"/>
  <c r="Z29" i="78"/>
  <c r="J35" i="78"/>
  <c r="Z35" i="78"/>
  <c r="R37" i="78"/>
  <c r="AA42" i="78"/>
  <c r="W42" i="78"/>
  <c r="S42" i="78"/>
  <c r="O42" i="78"/>
  <c r="K42" i="78"/>
  <c r="G42" i="78"/>
  <c r="Z42" i="78"/>
  <c r="V42" i="78"/>
  <c r="R42" i="78"/>
  <c r="N42" i="78"/>
  <c r="J42" i="78"/>
  <c r="F42" i="78"/>
  <c r="X42" i="78"/>
  <c r="P42" i="78"/>
  <c r="H42" i="78"/>
  <c r="U42" i="78"/>
  <c r="M42" i="78"/>
  <c r="E42" i="78"/>
  <c r="T42" i="78"/>
  <c r="H38" i="78"/>
  <c r="H35" i="78"/>
  <c r="H37" i="78"/>
  <c r="L38" i="78"/>
  <c r="L35" i="78"/>
  <c r="L37" i="78"/>
  <c r="P38" i="78"/>
  <c r="P35" i="78"/>
  <c r="P37" i="78"/>
  <c r="T38" i="78"/>
  <c r="T35" i="78"/>
  <c r="T37" i="78"/>
  <c r="X38" i="78"/>
  <c r="X35" i="78"/>
  <c r="X37" i="78"/>
  <c r="AB38" i="78"/>
  <c r="AB35" i="78"/>
  <c r="AB37" i="78"/>
  <c r="H27" i="78"/>
  <c r="L27" i="78"/>
  <c r="P27" i="78"/>
  <c r="T27" i="78"/>
  <c r="X27" i="78"/>
  <c r="AB27" i="78"/>
  <c r="H28" i="78"/>
  <c r="L28" i="78"/>
  <c r="P28" i="78"/>
  <c r="H29" i="78"/>
  <c r="X29" i="78"/>
  <c r="H72" i="78"/>
  <c r="AA30" i="78"/>
  <c r="W30" i="78"/>
  <c r="S30" i="78"/>
  <c r="O30" i="78"/>
  <c r="K30" i="78"/>
  <c r="G30" i="78"/>
  <c r="Z30" i="78"/>
  <c r="V30" i="78"/>
  <c r="R30" i="78"/>
  <c r="N30" i="78"/>
  <c r="J30" i="78"/>
  <c r="F30" i="78"/>
  <c r="I37" i="78"/>
  <c r="M37" i="78"/>
  <c r="Q37" i="78"/>
  <c r="U37" i="78"/>
  <c r="Y37" i="78"/>
  <c r="E27" i="78"/>
  <c r="I27" i="78"/>
  <c r="M27" i="78"/>
  <c r="Q27" i="78"/>
  <c r="U27" i="78"/>
  <c r="Y27" i="78"/>
  <c r="E28" i="78"/>
  <c r="I28" i="78"/>
  <c r="M28" i="78"/>
  <c r="Q28" i="78"/>
  <c r="AB28" i="78"/>
  <c r="I29" i="78"/>
  <c r="T29" i="78"/>
  <c r="Y29" i="78"/>
  <c r="H30" i="78"/>
  <c r="P30" i="78"/>
  <c r="X30" i="78"/>
  <c r="H33" i="78"/>
  <c r="P33" i="78"/>
  <c r="X33" i="78"/>
  <c r="I35" i="78"/>
  <c r="Q35" i="78"/>
  <c r="Y35" i="78"/>
  <c r="L36" i="78"/>
  <c r="T36" i="78"/>
  <c r="AB36" i="78"/>
  <c r="I38" i="78"/>
  <c r="Q38" i="78"/>
  <c r="Y38" i="78"/>
  <c r="H71" i="78"/>
  <c r="M29" i="77"/>
  <c r="K48" i="77"/>
  <c r="K49" i="77" s="1"/>
  <c r="K50" i="77" s="1"/>
  <c r="K51" i="77" s="1"/>
  <c r="K52" i="77" s="1"/>
  <c r="M48" i="77"/>
  <c r="N48" i="77"/>
  <c r="J49" i="77" s="1"/>
  <c r="N49" i="77" s="1"/>
  <c r="J50" i="77" s="1"/>
  <c r="N50" i="77" s="1"/>
  <c r="J51" i="77" s="1"/>
  <c r="N51" i="77" s="1"/>
  <c r="J52" i="77" s="1"/>
  <c r="N52" i="77" s="1"/>
  <c r="M49" i="77"/>
  <c r="M50" i="77"/>
  <c r="M51" i="77"/>
  <c r="L30" i="77"/>
  <c r="N29" i="77"/>
  <c r="J30" i="77" s="1"/>
  <c r="M12" i="77"/>
  <c r="I126" i="81" l="1"/>
  <c r="R15" i="78"/>
  <c r="G160" i="81"/>
  <c r="G30" i="79"/>
  <c r="N30" i="82"/>
  <c r="J31" i="82" s="1"/>
  <c r="K30" i="82"/>
  <c r="N10" i="82"/>
  <c r="J11" i="82" s="1"/>
  <c r="M12" i="82"/>
  <c r="L39" i="82"/>
  <c r="G106" i="81"/>
  <c r="G126" i="81" s="1"/>
  <c r="G121" i="81"/>
  <c r="E124" i="81"/>
  <c r="E139" i="81" s="1"/>
  <c r="L65" i="81"/>
  <c r="L66" i="81" s="1"/>
  <c r="F106" i="81"/>
  <c r="F126" i="81" s="1"/>
  <c r="F121" i="81"/>
  <c r="H103" i="81"/>
  <c r="G67" i="81"/>
  <c r="M64" i="81"/>
  <c r="M65" i="81" s="1"/>
  <c r="M66" i="81" s="1"/>
  <c r="M67" i="81" s="1"/>
  <c r="I15" i="78"/>
  <c r="H15" i="78"/>
  <c r="X15" i="78"/>
  <c r="M15" i="78"/>
  <c r="E17" i="78"/>
  <c r="J15" i="78"/>
  <c r="F16" i="78"/>
  <c r="F17" i="78" s="1"/>
  <c r="F22" i="78" s="1"/>
  <c r="P15" i="78"/>
  <c r="E27" i="80"/>
  <c r="F26" i="80"/>
  <c r="F27" i="80" s="1"/>
  <c r="E10" i="80"/>
  <c r="F9" i="80"/>
  <c r="F10" i="80" s="1"/>
  <c r="H25" i="79"/>
  <c r="D26" i="79" s="1"/>
  <c r="F25" i="79"/>
  <c r="E20" i="79"/>
  <c r="E36" i="79"/>
  <c r="F15" i="79"/>
  <c r="F37" i="79"/>
  <c r="E37" i="79" s="1"/>
  <c r="H37" i="79"/>
  <c r="D38" i="79" s="1"/>
  <c r="L16" i="78"/>
  <c r="L17" i="78" s="1"/>
  <c r="L22" i="78" s="1"/>
  <c r="T15" i="78"/>
  <c r="W15" i="78"/>
  <c r="Z15" i="78"/>
  <c r="R16" i="78"/>
  <c r="R17" i="78" s="1"/>
  <c r="R22" i="78" s="1"/>
  <c r="O15" i="78"/>
  <c r="U15" i="78"/>
  <c r="G15" i="78"/>
  <c r="M13" i="77"/>
  <c r="M20" i="77"/>
  <c r="K30" i="77"/>
  <c r="N30" i="77"/>
  <c r="J31" i="77" s="1"/>
  <c r="K11" i="77"/>
  <c r="L31" i="77"/>
  <c r="L32" i="77" s="1"/>
  <c r="L33" i="77" s="1"/>
  <c r="L34" i="77" s="1"/>
  <c r="L35" i="77" s="1"/>
  <c r="L36" i="77" s="1"/>
  <c r="L37" i="77" s="1"/>
  <c r="L38" i="77" s="1"/>
  <c r="E22" i="78" l="1"/>
  <c r="E52" i="78" s="1"/>
  <c r="E53" i="78" s="1"/>
  <c r="X16" i="78"/>
  <c r="X17" i="78" s="1"/>
  <c r="X22" i="78" s="1"/>
  <c r="J16" i="78"/>
  <c r="J17" i="78" s="1"/>
  <c r="H16" i="78"/>
  <c r="H17" i="78" s="1"/>
  <c r="I16" i="78"/>
  <c r="I17" i="78" s="1"/>
  <c r="K11" i="82"/>
  <c r="M13" i="82"/>
  <c r="M30" i="82"/>
  <c r="K31" i="82"/>
  <c r="M31" i="82" s="1"/>
  <c r="N31" i="82"/>
  <c r="J32" i="82" s="1"/>
  <c r="F124" i="81"/>
  <c r="F139" i="81" s="1"/>
  <c r="E140" i="81"/>
  <c r="E141" i="81" s="1"/>
  <c r="E153" i="81" s="1"/>
  <c r="N64" i="81"/>
  <c r="N65" i="81" s="1"/>
  <c r="N66" i="81" s="1"/>
  <c r="N67" i="81" s="1"/>
  <c r="I103" i="81"/>
  <c r="I121" i="81" s="1"/>
  <c r="I139" i="81" s="1"/>
  <c r="H121" i="81"/>
  <c r="H106" i="81"/>
  <c r="H126" i="81" s="1"/>
  <c r="G124" i="81"/>
  <c r="G139" i="81" s="1"/>
  <c r="R52" i="78"/>
  <c r="X52" i="78"/>
  <c r="F52" i="78"/>
  <c r="L52" i="78"/>
  <c r="Q16" i="78"/>
  <c r="Q15" i="78"/>
  <c r="AB15" i="78"/>
  <c r="N16" i="78"/>
  <c r="N15" i="78"/>
  <c r="Y16" i="78"/>
  <c r="Y15" i="78"/>
  <c r="AA15" i="78"/>
  <c r="AA16" i="78"/>
  <c r="S16" i="78"/>
  <c r="S15" i="78"/>
  <c r="V16" i="78"/>
  <c r="V15" i="78"/>
  <c r="K16" i="78"/>
  <c r="K15" i="78"/>
  <c r="M16" i="78"/>
  <c r="M17" i="78" s="1"/>
  <c r="M22" i="78" s="1"/>
  <c r="P16" i="78"/>
  <c r="P17" i="78" s="1"/>
  <c r="P22" i="78" s="1"/>
  <c r="AB16" i="78"/>
  <c r="E25" i="79"/>
  <c r="G15" i="79"/>
  <c r="F26" i="79"/>
  <c r="E26" i="79" s="1"/>
  <c r="H26" i="79"/>
  <c r="D27" i="79" s="1"/>
  <c r="F38" i="79"/>
  <c r="E38" i="79" s="1"/>
  <c r="H38" i="79"/>
  <c r="D39" i="79" s="1"/>
  <c r="G16" i="78"/>
  <c r="G17" i="78" s="1"/>
  <c r="G22" i="78" s="1"/>
  <c r="U16" i="78"/>
  <c r="U17" i="78" s="1"/>
  <c r="U22" i="78" s="1"/>
  <c r="Z16" i="78"/>
  <c r="Z17" i="78" s="1"/>
  <c r="Z22" i="78" s="1"/>
  <c r="O16" i="78"/>
  <c r="O17" i="78" s="1"/>
  <c r="O22" i="78" s="1"/>
  <c r="W16" i="78"/>
  <c r="W17" i="78" s="1"/>
  <c r="W22" i="78" s="1"/>
  <c r="T16" i="78"/>
  <c r="T17" i="78" s="1"/>
  <c r="T22" i="78" s="1"/>
  <c r="M30" i="77"/>
  <c r="L11" i="77"/>
  <c r="L39" i="77"/>
  <c r="N31" i="77"/>
  <c r="J32" i="77" s="1"/>
  <c r="K31" i="77"/>
  <c r="M31" i="77" s="1"/>
  <c r="M14" i="77"/>
  <c r="N17" i="78" l="1"/>
  <c r="N22" i="78" s="1"/>
  <c r="N52" i="78" s="1"/>
  <c r="J22" i="78"/>
  <c r="J52" i="78" s="1"/>
  <c r="I22" i="78"/>
  <c r="I52" i="78" s="1"/>
  <c r="H22" i="78"/>
  <c r="H52" i="78" s="1"/>
  <c r="F53" i="78"/>
  <c r="Q17" i="78"/>
  <c r="Q22" i="78" s="1"/>
  <c r="Q52" i="78" s="1"/>
  <c r="AB17" i="78"/>
  <c r="AB22" i="78" s="1"/>
  <c r="S17" i="78"/>
  <c r="V17" i="78"/>
  <c r="N32" i="82"/>
  <c r="J33" i="82" s="1"/>
  <c r="K32" i="82"/>
  <c r="M32" i="82" s="1"/>
  <c r="M14" i="82"/>
  <c r="M20" i="82"/>
  <c r="K39" i="82"/>
  <c r="M39" i="82"/>
  <c r="L11" i="82"/>
  <c r="G140" i="81"/>
  <c r="G141" i="81" s="1"/>
  <c r="G153" i="81" s="1"/>
  <c r="F140" i="81"/>
  <c r="F141" i="81" s="1"/>
  <c r="F153" i="81" s="1"/>
  <c r="I140" i="81"/>
  <c r="I141" i="81" s="1"/>
  <c r="I153" i="81" s="1"/>
  <c r="H124" i="81"/>
  <c r="H139" i="81" s="1"/>
  <c r="T52" i="78"/>
  <c r="O52" i="78"/>
  <c r="P52" i="78"/>
  <c r="U52" i="78"/>
  <c r="M52" i="78"/>
  <c r="AA17" i="78"/>
  <c r="AA22" i="78" s="1"/>
  <c r="Z52" i="78"/>
  <c r="W52" i="78"/>
  <c r="G52" i="78"/>
  <c r="G53" i="78" s="1"/>
  <c r="Y17" i="78"/>
  <c r="Y22" i="78" s="1"/>
  <c r="AB52" i="78"/>
  <c r="K17" i="78"/>
  <c r="K22" i="78" s="1"/>
  <c r="F27" i="79"/>
  <c r="H27" i="79"/>
  <c r="D28" i="79" s="1"/>
  <c r="F60" i="79"/>
  <c r="H15" i="79"/>
  <c r="D16" i="79" s="1"/>
  <c r="H39" i="79"/>
  <c r="D40" i="79" s="1"/>
  <c r="F39" i="79"/>
  <c r="E39" i="79" s="1"/>
  <c r="N11" i="77"/>
  <c r="J12" i="77" s="1"/>
  <c r="N32" i="77"/>
  <c r="J33" i="77" s="1"/>
  <c r="K32" i="77"/>
  <c r="M32" i="77" s="1"/>
  <c r="M39" i="77" s="1"/>
  <c r="M15" i="77"/>
  <c r="H53" i="78" l="1"/>
  <c r="I53" i="78" s="1"/>
  <c r="J53" i="78" s="1"/>
  <c r="V22" i="78"/>
  <c r="V52" i="78" s="1"/>
  <c r="S22" i="78"/>
  <c r="S52" i="78" s="1"/>
  <c r="M15" i="82"/>
  <c r="N11" i="82"/>
  <c r="J12" i="82" s="1"/>
  <c r="N33" i="82"/>
  <c r="J34" i="82" s="1"/>
  <c r="K33" i="82"/>
  <c r="M33" i="82" s="1"/>
  <c r="H140" i="81"/>
  <c r="H141" i="81" s="1"/>
  <c r="H153" i="81" s="1"/>
  <c r="J153" i="81" s="1"/>
  <c r="Y52" i="78"/>
  <c r="K52" i="78"/>
  <c r="AA52" i="78"/>
  <c r="H28" i="79"/>
  <c r="D29" i="79" s="1"/>
  <c r="F28" i="79"/>
  <c r="E28" i="79" s="1"/>
  <c r="F16" i="79"/>
  <c r="E27" i="79"/>
  <c r="G40" i="79"/>
  <c r="G41" i="79" s="1"/>
  <c r="F40" i="79"/>
  <c r="K33" i="77"/>
  <c r="M33" i="77" s="1"/>
  <c r="N33" i="77"/>
  <c r="J34" i="77" s="1"/>
  <c r="M16" i="77"/>
  <c r="K12" i="77"/>
  <c r="K39" i="77"/>
  <c r="K53" i="78" l="1"/>
  <c r="L53" i="78" s="1"/>
  <c r="M53" i="78" s="1"/>
  <c r="N53" i="78" s="1"/>
  <c r="O53" i="78" s="1"/>
  <c r="P53" i="78" s="1"/>
  <c r="Q53" i="78" s="1"/>
  <c r="R53" i="78" s="1"/>
  <c r="S53" i="78" s="1"/>
  <c r="T53" i="78" s="1"/>
  <c r="U53" i="78" s="1"/>
  <c r="V53" i="78" s="1"/>
  <c r="W53" i="78" s="1"/>
  <c r="X53" i="78" s="1"/>
  <c r="Y53" i="78" s="1"/>
  <c r="Z53" i="78" s="1"/>
  <c r="AA53" i="78" s="1"/>
  <c r="AB53" i="78" s="1"/>
  <c r="E40" i="79"/>
  <c r="E41" i="79" s="1"/>
  <c r="K12" i="82"/>
  <c r="K34" i="82"/>
  <c r="M34" i="82" s="1"/>
  <c r="N34" i="82"/>
  <c r="J35" i="82" s="1"/>
  <c r="M16" i="82"/>
  <c r="G16" i="79"/>
  <c r="F41" i="79"/>
  <c r="H29" i="79"/>
  <c r="F29" i="79"/>
  <c r="H40" i="79"/>
  <c r="M17" i="77"/>
  <c r="L12" i="77"/>
  <c r="K20" i="77"/>
  <c r="N34" i="77"/>
  <c r="J35" i="77" s="1"/>
  <c r="K34" i="77"/>
  <c r="M34" i="77" s="1"/>
  <c r="F59" i="78" l="1"/>
  <c r="J69" i="78" s="1"/>
  <c r="I70" i="78" s="1"/>
  <c r="J70" i="78" s="1"/>
  <c r="I71" i="78" s="1"/>
  <c r="J71" i="78" s="1"/>
  <c r="I72" i="78" s="1"/>
  <c r="J72" i="78" s="1"/>
  <c r="I73" i="78" s="1"/>
  <c r="K35" i="82"/>
  <c r="M35" i="82" s="1"/>
  <c r="N35" i="82"/>
  <c r="J36" i="82" s="1"/>
  <c r="M17" i="82"/>
  <c r="L12" i="82"/>
  <c r="K20" i="82"/>
  <c r="E29" i="79"/>
  <c r="E30" i="79" s="1"/>
  <c r="F30" i="79"/>
  <c r="H16" i="79"/>
  <c r="D17" i="79" s="1"/>
  <c r="L20" i="77"/>
  <c r="N12" i="77"/>
  <c r="J13" i="77" s="1"/>
  <c r="N35" i="77"/>
  <c r="J36" i="77" s="1"/>
  <c r="K35" i="77"/>
  <c r="M35" i="77" s="1"/>
  <c r="M18" i="77"/>
  <c r="M18" i="82" l="1"/>
  <c r="K36" i="82"/>
  <c r="M36" i="82" s="1"/>
  <c r="N36" i="82"/>
  <c r="J37" i="82" s="1"/>
  <c r="L20" i="82"/>
  <c r="N12" i="82"/>
  <c r="J13" i="82" s="1"/>
  <c r="F17" i="79"/>
  <c r="J73" i="78"/>
  <c r="I74" i="78" s="1"/>
  <c r="J74" i="78" s="1"/>
  <c r="N36" i="77"/>
  <c r="J37" i="77" s="1"/>
  <c r="K36" i="77"/>
  <c r="M36" i="77" s="1"/>
  <c r="M19" i="77"/>
  <c r="K13" i="77"/>
  <c r="L13" i="77" s="1"/>
  <c r="N13" i="77" s="1"/>
  <c r="J14" i="77" s="1"/>
  <c r="N37" i="82" l="1"/>
  <c r="J38" i="82" s="1"/>
  <c r="K37" i="82"/>
  <c r="M37" i="82" s="1"/>
  <c r="K13" i="82"/>
  <c r="L13" i="82" s="1"/>
  <c r="N13" i="82" s="1"/>
  <c r="J14" i="82" s="1"/>
  <c r="M19" i="82"/>
  <c r="G17" i="79"/>
  <c r="K14" i="77"/>
  <c r="L14" i="77" s="1"/>
  <c r="N14" i="77" s="1"/>
  <c r="J15" i="77" s="1"/>
  <c r="K37" i="77"/>
  <c r="M37" i="77" s="1"/>
  <c r="N37" i="77"/>
  <c r="J38" i="77" s="1"/>
  <c r="K14" i="82" l="1"/>
  <c r="L14" i="82" s="1"/>
  <c r="N14" i="82" s="1"/>
  <c r="J15" i="82" s="1"/>
  <c r="K38" i="82"/>
  <c r="M38" i="82" s="1"/>
  <c r="N38" i="82"/>
  <c r="H17" i="79"/>
  <c r="D18" i="79" s="1"/>
  <c r="K15" i="77"/>
  <c r="L15" i="77" s="1"/>
  <c r="N15" i="77" s="1"/>
  <c r="J16" i="77" s="1"/>
  <c r="N38" i="77"/>
  <c r="K38" i="77"/>
  <c r="M38" i="77" s="1"/>
  <c r="K15" i="82" l="1"/>
  <c r="L15" i="82" s="1"/>
  <c r="N15" i="82" s="1"/>
  <c r="J16" i="82" s="1"/>
  <c r="F18" i="79"/>
  <c r="K16" i="77"/>
  <c r="L16" i="77" s="1"/>
  <c r="N16" i="77" s="1"/>
  <c r="J17" i="77" s="1"/>
  <c r="K16" i="82" l="1"/>
  <c r="L16" i="82" s="1"/>
  <c r="N16" i="82" s="1"/>
  <c r="J17" i="82" s="1"/>
  <c r="G18" i="79"/>
  <c r="K17" i="77"/>
  <c r="L17" i="77" s="1"/>
  <c r="N17" i="77" s="1"/>
  <c r="J18" i="77" s="1"/>
  <c r="K17" i="82" l="1"/>
  <c r="L17" i="82" s="1"/>
  <c r="N17" i="82" s="1"/>
  <c r="J18" i="82" s="1"/>
  <c r="H18" i="79"/>
  <c r="D19" i="79" s="1"/>
  <c r="K18" i="77"/>
  <c r="L18" i="77" s="1"/>
  <c r="N18" i="77" s="1"/>
  <c r="J19" i="77" s="1"/>
  <c r="K18" i="82" l="1"/>
  <c r="L18" i="82" s="1"/>
  <c r="N18" i="82" s="1"/>
  <c r="J19" i="82" s="1"/>
  <c r="F19" i="79"/>
  <c r="K19" i="77"/>
  <c r="L19" i="77" s="1"/>
  <c r="N19" i="77" s="1"/>
  <c r="K19" i="82" l="1"/>
  <c r="L19" i="82" s="1"/>
  <c r="N19" i="82" s="1"/>
  <c r="G19" i="79"/>
  <c r="F20" i="79"/>
  <c r="G20" i="79" l="1"/>
  <c r="H19" i="79"/>
  <c r="K152" i="75" l="1"/>
  <c r="K150" i="75"/>
  <c r="C166" i="75"/>
  <c r="C165" i="75"/>
  <c r="C174" i="75" s="1"/>
  <c r="C182" i="75"/>
  <c r="I157" i="75"/>
  <c r="G76" i="76"/>
  <c r="G77" i="76" s="1"/>
  <c r="G75" i="76"/>
  <c r="H76" i="76" s="1"/>
  <c r="G74" i="76"/>
  <c r="F7" i="76"/>
  <c r="G7" i="76"/>
  <c r="H7" i="76"/>
  <c r="I7" i="76"/>
  <c r="J7" i="76"/>
  <c r="K7" i="76"/>
  <c r="L7" i="76"/>
  <c r="M7" i="76"/>
  <c r="M11" i="76" s="1"/>
  <c r="N7" i="76"/>
  <c r="O7" i="76"/>
  <c r="P7" i="76"/>
  <c r="Q7" i="76"/>
  <c r="Q11" i="76" s="1"/>
  <c r="R7" i="76"/>
  <c r="S7" i="76"/>
  <c r="T7" i="76"/>
  <c r="U7" i="76"/>
  <c r="U11" i="76" s="1"/>
  <c r="V7" i="76"/>
  <c r="W7" i="76"/>
  <c r="X7" i="76"/>
  <c r="Y7" i="76"/>
  <c r="Y11" i="76" s="1"/>
  <c r="Z7" i="76"/>
  <c r="AA7" i="76"/>
  <c r="AB7" i="76"/>
  <c r="F8" i="76"/>
  <c r="G8" i="76"/>
  <c r="H8" i="76"/>
  <c r="I8" i="76"/>
  <c r="J8" i="76"/>
  <c r="K8" i="76"/>
  <c r="L8" i="76"/>
  <c r="M8" i="76"/>
  <c r="N8" i="76"/>
  <c r="O8" i="76"/>
  <c r="P8" i="76"/>
  <c r="Q8" i="76"/>
  <c r="Q14" i="76" s="1"/>
  <c r="R8" i="76"/>
  <c r="S8" i="76"/>
  <c r="T8" i="76"/>
  <c r="U8" i="76"/>
  <c r="V8" i="76"/>
  <c r="W8" i="76"/>
  <c r="X8" i="76"/>
  <c r="Y8" i="76"/>
  <c r="Z8" i="76"/>
  <c r="AA8" i="76"/>
  <c r="AB8" i="76"/>
  <c r="E8" i="76"/>
  <c r="E7" i="76"/>
  <c r="H14" i="76"/>
  <c r="I14" i="76"/>
  <c r="J14" i="76"/>
  <c r="K14" i="76"/>
  <c r="L14" i="76"/>
  <c r="M14" i="76"/>
  <c r="N14" i="76"/>
  <c r="O14" i="76"/>
  <c r="P14" i="76"/>
  <c r="R14" i="76"/>
  <c r="S14" i="76"/>
  <c r="T14" i="76"/>
  <c r="U14" i="76"/>
  <c r="V14" i="76"/>
  <c r="W14" i="76"/>
  <c r="X14" i="76"/>
  <c r="Y14" i="76"/>
  <c r="Z14" i="76"/>
  <c r="AA14" i="76"/>
  <c r="AB14" i="76"/>
  <c r="G14" i="76"/>
  <c r="C16" i="76"/>
  <c r="F95" i="75"/>
  <c r="E101" i="75" s="1"/>
  <c r="F101" i="75" s="1"/>
  <c r="G101" i="75" s="1"/>
  <c r="H101" i="75" s="1"/>
  <c r="I101" i="75" s="1"/>
  <c r="C46" i="76"/>
  <c r="F46" i="76" s="1"/>
  <c r="C53" i="76"/>
  <c r="I53" i="76" s="1"/>
  <c r="E47" i="76"/>
  <c r="E48" i="76"/>
  <c r="J98" i="76"/>
  <c r="G98" i="76"/>
  <c r="H98" i="76" s="1"/>
  <c r="J97" i="76"/>
  <c r="G97" i="76"/>
  <c r="H97" i="76" s="1"/>
  <c r="J96" i="76"/>
  <c r="G96" i="76"/>
  <c r="H96" i="76" s="1"/>
  <c r="J95" i="76"/>
  <c r="G95" i="76"/>
  <c r="H95" i="76" s="1"/>
  <c r="G94" i="76"/>
  <c r="H94" i="76" s="1"/>
  <c r="J94" i="76" s="1"/>
  <c r="K94" i="76" s="1"/>
  <c r="M94" i="76" s="1"/>
  <c r="F89" i="76"/>
  <c r="F88" i="76"/>
  <c r="F87" i="76"/>
  <c r="D76" i="76"/>
  <c r="AB52" i="76"/>
  <c r="AA52" i="76"/>
  <c r="Z52" i="76"/>
  <c r="Y52" i="76"/>
  <c r="X52" i="76"/>
  <c r="W52" i="76"/>
  <c r="V52" i="76"/>
  <c r="U52" i="76"/>
  <c r="T52" i="76"/>
  <c r="S52" i="76"/>
  <c r="R52" i="76"/>
  <c r="Q52" i="76"/>
  <c r="P52" i="76"/>
  <c r="O52" i="76"/>
  <c r="N52" i="76"/>
  <c r="M52" i="76"/>
  <c r="L52" i="76"/>
  <c r="K52" i="76"/>
  <c r="J52" i="76"/>
  <c r="I52" i="76"/>
  <c r="H52" i="76"/>
  <c r="G52" i="76"/>
  <c r="F52" i="76"/>
  <c r="E52" i="76"/>
  <c r="AB50" i="76"/>
  <c r="AA50" i="76"/>
  <c r="Z50" i="76"/>
  <c r="Y50" i="76"/>
  <c r="X50" i="76"/>
  <c r="W50" i="76"/>
  <c r="V50" i="76"/>
  <c r="U50" i="76"/>
  <c r="T50" i="76"/>
  <c r="S50" i="76"/>
  <c r="R50" i="76"/>
  <c r="Q50" i="76"/>
  <c r="P50" i="76"/>
  <c r="O50" i="76"/>
  <c r="N50" i="76"/>
  <c r="M50" i="76"/>
  <c r="L50" i="76"/>
  <c r="K50" i="76"/>
  <c r="J50" i="76"/>
  <c r="I50" i="76"/>
  <c r="H50" i="76"/>
  <c r="G50" i="76"/>
  <c r="F50" i="76"/>
  <c r="E50" i="76"/>
  <c r="AB49" i="76"/>
  <c r="AA49" i="76"/>
  <c r="Z49" i="76"/>
  <c r="Y49" i="76"/>
  <c r="X49" i="76"/>
  <c r="W49" i="76"/>
  <c r="V49" i="76"/>
  <c r="U49" i="76"/>
  <c r="T49" i="76"/>
  <c r="S49" i="76"/>
  <c r="R49" i="76"/>
  <c r="Q49" i="76"/>
  <c r="P49" i="76"/>
  <c r="O49" i="76"/>
  <c r="N49" i="76"/>
  <c r="M49" i="76"/>
  <c r="L49" i="76"/>
  <c r="K49" i="76"/>
  <c r="J49" i="76"/>
  <c r="I49" i="76"/>
  <c r="H49" i="76"/>
  <c r="G49" i="76"/>
  <c r="F49" i="76"/>
  <c r="E49" i="76"/>
  <c r="AB48" i="76"/>
  <c r="AA48" i="76"/>
  <c r="Z48" i="76"/>
  <c r="Y48" i="76"/>
  <c r="X48" i="76"/>
  <c r="W48" i="76"/>
  <c r="V48" i="76"/>
  <c r="U48" i="76"/>
  <c r="T48" i="76"/>
  <c r="S48" i="76"/>
  <c r="R48" i="76"/>
  <c r="Q48" i="76"/>
  <c r="P48" i="76"/>
  <c r="O48" i="76"/>
  <c r="N48" i="76"/>
  <c r="M48" i="76"/>
  <c r="L48" i="76"/>
  <c r="K48" i="76"/>
  <c r="J48" i="76"/>
  <c r="I48" i="76"/>
  <c r="H48" i="76"/>
  <c r="G48" i="76"/>
  <c r="F48" i="76"/>
  <c r="AB47" i="76"/>
  <c r="AA47" i="76"/>
  <c r="Z47" i="76"/>
  <c r="Y47" i="76"/>
  <c r="X47" i="76"/>
  <c r="W47" i="76"/>
  <c r="V47" i="76"/>
  <c r="U47" i="76"/>
  <c r="T47" i="76"/>
  <c r="S47" i="76"/>
  <c r="R47" i="76"/>
  <c r="Q47" i="76"/>
  <c r="P47" i="76"/>
  <c r="O47" i="76"/>
  <c r="N47" i="76"/>
  <c r="M47" i="76"/>
  <c r="L47" i="76"/>
  <c r="K47" i="76"/>
  <c r="J47" i="76"/>
  <c r="I47" i="76"/>
  <c r="H47" i="76"/>
  <c r="G47" i="76"/>
  <c r="F47" i="76"/>
  <c r="AB27" i="76"/>
  <c r="AB42" i="76" s="1"/>
  <c r="AA27" i="76"/>
  <c r="AA40" i="76" s="1"/>
  <c r="Z27" i="76"/>
  <c r="Z42" i="76" s="1"/>
  <c r="Y27" i="76"/>
  <c r="Y40" i="76" s="1"/>
  <c r="X27" i="76"/>
  <c r="X30" i="76" s="1"/>
  <c r="W27" i="76"/>
  <c r="W38" i="76" s="1"/>
  <c r="V27" i="76"/>
  <c r="V42" i="76" s="1"/>
  <c r="U27" i="76"/>
  <c r="U40" i="76" s="1"/>
  <c r="T27" i="76"/>
  <c r="T41" i="76" s="1"/>
  <c r="S27" i="76"/>
  <c r="S40" i="76" s="1"/>
  <c r="R27" i="76"/>
  <c r="R42" i="76" s="1"/>
  <c r="Q27" i="76"/>
  <c r="Q40" i="76" s="1"/>
  <c r="P27" i="76"/>
  <c r="P41" i="76" s="1"/>
  <c r="O27" i="76"/>
  <c r="O38" i="76" s="1"/>
  <c r="N27" i="76"/>
  <c r="N42" i="76" s="1"/>
  <c r="M27" i="76"/>
  <c r="M40" i="76" s="1"/>
  <c r="L27" i="76"/>
  <c r="L42" i="76" s="1"/>
  <c r="K27" i="76"/>
  <c r="K38" i="76" s="1"/>
  <c r="J27" i="76"/>
  <c r="J42" i="76" s="1"/>
  <c r="I27" i="76"/>
  <c r="I40" i="76" s="1"/>
  <c r="H27" i="76"/>
  <c r="H32" i="76" s="1"/>
  <c r="G27" i="76"/>
  <c r="G40" i="76" s="1"/>
  <c r="F27" i="76"/>
  <c r="F36" i="76" s="1"/>
  <c r="E27" i="76"/>
  <c r="Z33" i="76" s="1"/>
  <c r="AB13" i="76"/>
  <c r="X13" i="76"/>
  <c r="W11" i="76"/>
  <c r="T13" i="76"/>
  <c r="P13" i="76"/>
  <c r="O11" i="76"/>
  <c r="L13" i="76"/>
  <c r="I11" i="76"/>
  <c r="H13" i="76"/>
  <c r="G13" i="76"/>
  <c r="F12" i="76"/>
  <c r="E11" i="76"/>
  <c r="E16" i="76" s="1"/>
  <c r="O70" i="75"/>
  <c r="P70" i="75" s="1"/>
  <c r="D155" i="75"/>
  <c r="I134" i="75" s="1"/>
  <c r="D154" i="75"/>
  <c r="F133" i="75" s="1"/>
  <c r="D153" i="75"/>
  <c r="I132" i="75" s="1"/>
  <c r="D152" i="75"/>
  <c r="H131" i="75" s="1"/>
  <c r="D151" i="75"/>
  <c r="F130" i="75" s="1"/>
  <c r="D150" i="75"/>
  <c r="H129" i="75" s="1"/>
  <c r="C96" i="75"/>
  <c r="I88" i="75"/>
  <c r="I87" i="75"/>
  <c r="I86" i="75"/>
  <c r="F125" i="75"/>
  <c r="G125" i="75"/>
  <c r="H125" i="75"/>
  <c r="I125" i="75"/>
  <c r="F124" i="75"/>
  <c r="G124" i="75"/>
  <c r="H124" i="75"/>
  <c r="I124" i="75"/>
  <c r="F123" i="75"/>
  <c r="G123" i="75"/>
  <c r="H123" i="75"/>
  <c r="I123" i="75"/>
  <c r="E125" i="75"/>
  <c r="E124" i="75"/>
  <c r="E123" i="75"/>
  <c r="E122" i="75"/>
  <c r="F122" i="75" s="1"/>
  <c r="G122" i="75" s="1"/>
  <c r="H122" i="75" s="1"/>
  <c r="I122" i="75" s="1"/>
  <c r="L208" i="75"/>
  <c r="O205" i="75" s="1"/>
  <c r="P205" i="75" s="1"/>
  <c r="D208" i="75"/>
  <c r="N202" i="75"/>
  <c r="N199" i="75"/>
  <c r="N196" i="75"/>
  <c r="C193" i="75"/>
  <c r="H182" i="75"/>
  <c r="J174" i="75"/>
  <c r="I127" i="75"/>
  <c r="J90" i="75"/>
  <c r="G90" i="75"/>
  <c r="H90" i="75" s="1"/>
  <c r="G89" i="75"/>
  <c r="H89" i="75" s="1"/>
  <c r="J89" i="75" s="1"/>
  <c r="G88" i="75"/>
  <c r="H88" i="75" s="1"/>
  <c r="G87" i="75"/>
  <c r="H87" i="75" s="1"/>
  <c r="G86" i="75"/>
  <c r="H86" i="75" s="1"/>
  <c r="G62" i="75"/>
  <c r="G63" i="75" s="1"/>
  <c r="J64" i="75" s="1"/>
  <c r="L200" i="72"/>
  <c r="P199" i="72" s="1"/>
  <c r="D200" i="72"/>
  <c r="N194" i="72"/>
  <c r="N191" i="72"/>
  <c r="N188" i="72"/>
  <c r="C185" i="72"/>
  <c r="C176" i="72"/>
  <c r="H176" i="72"/>
  <c r="J168" i="72"/>
  <c r="H69" i="72"/>
  <c r="J67" i="72" s="1"/>
  <c r="P70" i="72"/>
  <c r="G62" i="72"/>
  <c r="L200" i="71"/>
  <c r="O199" i="71" s="1"/>
  <c r="P199" i="71" s="1"/>
  <c r="D200" i="71"/>
  <c r="N194" i="71"/>
  <c r="N191" i="71"/>
  <c r="N188" i="71"/>
  <c r="C185" i="71"/>
  <c r="C176" i="71"/>
  <c r="H176" i="71"/>
  <c r="J168" i="71"/>
  <c r="J92" i="71"/>
  <c r="G92" i="71"/>
  <c r="H92" i="71" s="1"/>
  <c r="G91" i="71"/>
  <c r="H91" i="71" s="1"/>
  <c r="J91" i="71" s="1"/>
  <c r="G88" i="71"/>
  <c r="H88" i="71" s="1"/>
  <c r="J88" i="71" s="1"/>
  <c r="G87" i="71"/>
  <c r="H87" i="71" s="1"/>
  <c r="J87" i="71" s="1"/>
  <c r="G86" i="71"/>
  <c r="H86" i="71" s="1"/>
  <c r="J86" i="71" s="1"/>
  <c r="O70" i="71"/>
  <c r="P70" i="71" s="1"/>
  <c r="G62" i="71"/>
  <c r="AE11" i="69"/>
  <c r="AF11" i="69"/>
  <c r="AG11" i="69"/>
  <c r="AG14" i="69" s="1"/>
  <c r="AG17" i="69" s="1"/>
  <c r="AH11" i="69"/>
  <c r="AH14" i="69" s="1"/>
  <c r="AI11" i="69"/>
  <c r="AJ11" i="69"/>
  <c r="AK11" i="69"/>
  <c r="AK14" i="69" s="1"/>
  <c r="AK16" i="69" s="1"/>
  <c r="AL11" i="69"/>
  <c r="AM11" i="69"/>
  <c r="AN11" i="69"/>
  <c r="AL14" i="69"/>
  <c r="AD11" i="69"/>
  <c r="AC7" i="69"/>
  <c r="AD7" i="69"/>
  <c r="AE7" i="69"/>
  <c r="AF7" i="69"/>
  <c r="AG7" i="69"/>
  <c r="AH7" i="69"/>
  <c r="AI7" i="69"/>
  <c r="AJ7" i="69"/>
  <c r="AK7" i="69"/>
  <c r="AL7" i="69"/>
  <c r="AM7" i="69"/>
  <c r="AN7" i="69"/>
  <c r="AE12" i="69"/>
  <c r="AF12" i="69"/>
  <c r="AG12" i="69"/>
  <c r="AH12" i="69"/>
  <c r="AI12" i="69"/>
  <c r="AJ12" i="69"/>
  <c r="AK12" i="69"/>
  <c r="AL12" i="69"/>
  <c r="AM12" i="69"/>
  <c r="AN12" i="69"/>
  <c r="AC12" i="69"/>
  <c r="AD12" i="69"/>
  <c r="AC13" i="69"/>
  <c r="AD13" i="69"/>
  <c r="AE13" i="69"/>
  <c r="AF13" i="69"/>
  <c r="AG13" i="69"/>
  <c r="AH13" i="69"/>
  <c r="AI13" i="69"/>
  <c r="AJ13" i="69"/>
  <c r="AK13" i="69"/>
  <c r="AL13" i="69"/>
  <c r="AM13" i="69"/>
  <c r="AN13" i="69"/>
  <c r="AC14" i="69"/>
  <c r="AC16" i="69" s="1"/>
  <c r="AD14" i="69"/>
  <c r="AD17" i="69" s="1"/>
  <c r="AE14" i="69"/>
  <c r="AE17" i="69" s="1"/>
  <c r="AF14" i="69"/>
  <c r="AF16" i="69" s="1"/>
  <c r="AI14" i="69"/>
  <c r="AI16" i="69" s="1"/>
  <c r="AJ14" i="69"/>
  <c r="AJ16" i="69" s="1"/>
  <c r="AM14" i="69"/>
  <c r="AN14" i="69"/>
  <c r="AN16" i="69" s="1"/>
  <c r="AE16" i="69"/>
  <c r="AM16" i="69"/>
  <c r="AI17" i="69"/>
  <c r="AM17" i="69"/>
  <c r="AC25" i="69"/>
  <c r="AD25" i="69"/>
  <c r="AE25" i="69"/>
  <c r="AF25" i="69"/>
  <c r="AG25" i="69"/>
  <c r="AH25" i="69"/>
  <c r="AI25" i="69"/>
  <c r="AJ25" i="69"/>
  <c r="AK25" i="69"/>
  <c r="AL25" i="69"/>
  <c r="AM25" i="69"/>
  <c r="AN25" i="69"/>
  <c r="AC28" i="69"/>
  <c r="AD28" i="69"/>
  <c r="AE28" i="69"/>
  <c r="AF28" i="69"/>
  <c r="AG28" i="69"/>
  <c r="AH28" i="69"/>
  <c r="AI28" i="69"/>
  <c r="AJ28" i="69"/>
  <c r="AK28" i="69"/>
  <c r="AL28" i="69"/>
  <c r="AM28" i="69"/>
  <c r="AN28" i="69"/>
  <c r="AC29" i="69"/>
  <c r="AD29" i="69"/>
  <c r="AE29" i="69"/>
  <c r="AF29" i="69"/>
  <c r="AG29" i="69"/>
  <c r="AH29" i="69"/>
  <c r="AI29" i="69"/>
  <c r="AJ29" i="69"/>
  <c r="AK29" i="69"/>
  <c r="AL29" i="69"/>
  <c r="AM29" i="69"/>
  <c r="AN29" i="69"/>
  <c r="AC30" i="69"/>
  <c r="AD30" i="69"/>
  <c r="AE30" i="69"/>
  <c r="AF30" i="69"/>
  <c r="AG30" i="69"/>
  <c r="AH30" i="69"/>
  <c r="AI30" i="69"/>
  <c r="AJ30" i="69"/>
  <c r="AK30" i="69"/>
  <c r="AL30" i="69"/>
  <c r="AM30" i="69"/>
  <c r="AN30" i="69"/>
  <c r="AC31" i="69"/>
  <c r="AD31" i="69"/>
  <c r="AE31" i="69"/>
  <c r="AF31" i="69"/>
  <c r="AG31" i="69"/>
  <c r="AH31" i="69"/>
  <c r="AI31" i="69"/>
  <c r="AJ31" i="69"/>
  <c r="AK31" i="69"/>
  <c r="AL31" i="69"/>
  <c r="AM31" i="69"/>
  <c r="AN31" i="69"/>
  <c r="AC34" i="69"/>
  <c r="AD34" i="69"/>
  <c r="AE34" i="69"/>
  <c r="AF34" i="69"/>
  <c r="AG34" i="69"/>
  <c r="AH34" i="69"/>
  <c r="AI34" i="69"/>
  <c r="AJ34" i="69"/>
  <c r="AK34" i="69"/>
  <c r="AL34" i="69"/>
  <c r="AM34" i="69"/>
  <c r="AN34" i="69"/>
  <c r="AC35" i="69"/>
  <c r="AD35" i="69"/>
  <c r="AE35" i="69"/>
  <c r="AF35" i="69"/>
  <c r="AG35" i="69"/>
  <c r="AH35" i="69"/>
  <c r="AI35" i="69"/>
  <c r="AJ35" i="69"/>
  <c r="AK35" i="69"/>
  <c r="AL35" i="69"/>
  <c r="AM35" i="69"/>
  <c r="AN35" i="69"/>
  <c r="AC36" i="69"/>
  <c r="AD36" i="69"/>
  <c r="AE36" i="69"/>
  <c r="AF36" i="69"/>
  <c r="AG36" i="69"/>
  <c r="AH36" i="69"/>
  <c r="AI36" i="69"/>
  <c r="AJ36" i="69"/>
  <c r="AK36" i="69"/>
  <c r="AL36" i="69"/>
  <c r="AM36" i="69"/>
  <c r="AN36" i="69"/>
  <c r="AC37" i="69"/>
  <c r="AD37" i="69"/>
  <c r="AE37" i="69"/>
  <c r="AF37" i="69"/>
  <c r="AG37" i="69"/>
  <c r="AH37" i="69"/>
  <c r="AI37" i="69"/>
  <c r="AJ37" i="69"/>
  <c r="AK37" i="69"/>
  <c r="AL37" i="69"/>
  <c r="AM37" i="69"/>
  <c r="AN37" i="69"/>
  <c r="AC38" i="69"/>
  <c r="AD38" i="69"/>
  <c r="AE38" i="69"/>
  <c r="AF38" i="69"/>
  <c r="AG38" i="69"/>
  <c r="AH38" i="69"/>
  <c r="AI38" i="69"/>
  <c r="AJ38" i="69"/>
  <c r="AK38" i="69"/>
  <c r="AL38" i="69"/>
  <c r="AM38" i="69"/>
  <c r="AN38" i="69"/>
  <c r="AC39" i="69"/>
  <c r="AD39" i="69"/>
  <c r="AE39" i="69"/>
  <c r="AF39" i="69"/>
  <c r="AG39" i="69"/>
  <c r="AH39" i="69"/>
  <c r="AI39" i="69"/>
  <c r="AJ39" i="69"/>
  <c r="AK39" i="69"/>
  <c r="AL39" i="69"/>
  <c r="AM39" i="69"/>
  <c r="AN39" i="69"/>
  <c r="AC43" i="69"/>
  <c r="AD43" i="69"/>
  <c r="AE43" i="69"/>
  <c r="AF43" i="69"/>
  <c r="AG43" i="69"/>
  <c r="AH43" i="69"/>
  <c r="AI43" i="69"/>
  <c r="AJ43" i="69"/>
  <c r="AK43" i="69"/>
  <c r="AL43" i="69"/>
  <c r="AM43" i="69"/>
  <c r="AN43" i="69"/>
  <c r="AC44" i="69"/>
  <c r="AD44" i="69"/>
  <c r="AE44" i="69"/>
  <c r="AF44" i="69"/>
  <c r="AG44" i="69"/>
  <c r="AH44" i="69"/>
  <c r="AI44" i="69"/>
  <c r="AJ44" i="69"/>
  <c r="AK44" i="69"/>
  <c r="AL44" i="69"/>
  <c r="AM44" i="69"/>
  <c r="AN44" i="69"/>
  <c r="AC45" i="69"/>
  <c r="AD45" i="69"/>
  <c r="AE45" i="69"/>
  <c r="AF45" i="69"/>
  <c r="AG45" i="69"/>
  <c r="AH45" i="69"/>
  <c r="AI45" i="69"/>
  <c r="AJ45" i="69"/>
  <c r="AK45" i="69"/>
  <c r="AL45" i="69"/>
  <c r="AM45" i="69"/>
  <c r="AN45" i="69"/>
  <c r="AC46" i="69"/>
  <c r="AD46" i="69"/>
  <c r="AE46" i="69"/>
  <c r="AF46" i="69"/>
  <c r="AG46" i="69"/>
  <c r="AH46" i="69"/>
  <c r="AI46" i="69"/>
  <c r="AJ46" i="69"/>
  <c r="AK46" i="69"/>
  <c r="AL46" i="69"/>
  <c r="AM46" i="69"/>
  <c r="AN46" i="69"/>
  <c r="AC47" i="69"/>
  <c r="AD47" i="69"/>
  <c r="AE47" i="69"/>
  <c r="AF47" i="69"/>
  <c r="AG47" i="69"/>
  <c r="AH47" i="69"/>
  <c r="AI47" i="69"/>
  <c r="AJ47" i="69"/>
  <c r="AK47" i="69"/>
  <c r="AL47" i="69"/>
  <c r="AM47" i="69"/>
  <c r="AN47" i="69"/>
  <c r="AC49" i="69"/>
  <c r="AD49" i="69"/>
  <c r="AE49" i="69"/>
  <c r="AF49" i="69"/>
  <c r="AG49" i="69"/>
  <c r="AH49" i="69"/>
  <c r="AI49" i="69"/>
  <c r="AJ49" i="69"/>
  <c r="AK49" i="69"/>
  <c r="AL49" i="69"/>
  <c r="AM49" i="69"/>
  <c r="AN49" i="69"/>
  <c r="AC50" i="69"/>
  <c r="AD50" i="69"/>
  <c r="AE50" i="69"/>
  <c r="AF50" i="69"/>
  <c r="AG50" i="69"/>
  <c r="AH50" i="69"/>
  <c r="AI50" i="69"/>
  <c r="AJ50" i="69"/>
  <c r="AK50" i="69"/>
  <c r="AL50" i="69"/>
  <c r="AM50" i="69"/>
  <c r="AN50" i="69"/>
  <c r="AC51" i="69"/>
  <c r="AD51" i="69"/>
  <c r="AE51" i="69"/>
  <c r="AF51" i="69"/>
  <c r="AG51" i="69"/>
  <c r="AH51" i="69"/>
  <c r="AI51" i="69"/>
  <c r="AJ51" i="69"/>
  <c r="AK51" i="69"/>
  <c r="AL51" i="69"/>
  <c r="AM51" i="69"/>
  <c r="AN51" i="69"/>
  <c r="N193" i="72" l="1"/>
  <c r="G63" i="72"/>
  <c r="G65" i="72" s="1"/>
  <c r="N190" i="72"/>
  <c r="P198" i="72"/>
  <c r="G64" i="72"/>
  <c r="N187" i="72"/>
  <c r="O188" i="72" s="1"/>
  <c r="O191" i="72"/>
  <c r="N193" i="71"/>
  <c r="O194" i="71" s="1"/>
  <c r="N190" i="71"/>
  <c r="O191" i="71" s="1"/>
  <c r="O198" i="71"/>
  <c r="P198" i="71" s="1"/>
  <c r="N187" i="71"/>
  <c r="O188" i="71" s="1"/>
  <c r="F96" i="75"/>
  <c r="E102" i="75" s="1"/>
  <c r="H77" i="76"/>
  <c r="G78" i="76"/>
  <c r="H78" i="76" s="1"/>
  <c r="H75" i="76"/>
  <c r="O53" i="76"/>
  <c r="J53" i="76"/>
  <c r="Z53" i="76"/>
  <c r="T53" i="76"/>
  <c r="T46" i="76"/>
  <c r="I46" i="76"/>
  <c r="X53" i="76"/>
  <c r="E46" i="76"/>
  <c r="S46" i="76"/>
  <c r="H46" i="76"/>
  <c r="AB53" i="76"/>
  <c r="W53" i="76"/>
  <c r="R53" i="76"/>
  <c r="L53" i="76"/>
  <c r="G53" i="76"/>
  <c r="AB46" i="76"/>
  <c r="W46" i="76"/>
  <c r="Q46" i="76"/>
  <c r="L46" i="76"/>
  <c r="G46" i="76"/>
  <c r="Y46" i="76"/>
  <c r="O46" i="76"/>
  <c r="S53" i="76"/>
  <c r="N53" i="76"/>
  <c r="H53" i="76"/>
  <c r="X46" i="76"/>
  <c r="M46" i="76"/>
  <c r="AA53" i="76"/>
  <c r="V53" i="76"/>
  <c r="P53" i="76"/>
  <c r="K53" i="76"/>
  <c r="F53" i="76"/>
  <c r="AA46" i="76"/>
  <c r="U46" i="76"/>
  <c r="P46" i="76"/>
  <c r="K46" i="76"/>
  <c r="Y13" i="76"/>
  <c r="Q15" i="76"/>
  <c r="R37" i="76"/>
  <c r="Y53" i="76"/>
  <c r="U53" i="76"/>
  <c r="Q53" i="76"/>
  <c r="M53" i="76"/>
  <c r="Z46" i="76"/>
  <c r="V46" i="76"/>
  <c r="R46" i="76"/>
  <c r="N46" i="76"/>
  <c r="J46" i="76"/>
  <c r="Q13" i="76"/>
  <c r="Y15" i="76"/>
  <c r="U15" i="76"/>
  <c r="F38" i="76"/>
  <c r="E120" i="75"/>
  <c r="P12" i="76"/>
  <c r="I13" i="76"/>
  <c r="I15" i="76"/>
  <c r="M13" i="76"/>
  <c r="M15" i="76"/>
  <c r="O33" i="76"/>
  <c r="W40" i="76"/>
  <c r="S33" i="76"/>
  <c r="U37" i="76"/>
  <c r="U39" i="76"/>
  <c r="Q41" i="76"/>
  <c r="Z38" i="76"/>
  <c r="V38" i="76"/>
  <c r="R38" i="76"/>
  <c r="N38" i="76"/>
  <c r="J38" i="76"/>
  <c r="W33" i="76"/>
  <c r="Y39" i="76"/>
  <c r="Y38" i="76"/>
  <c r="U38" i="76"/>
  <c r="Q38" i="76"/>
  <c r="I38" i="76"/>
  <c r="G33" i="76"/>
  <c r="I39" i="76"/>
  <c r="S42" i="76"/>
  <c r="M38" i="76"/>
  <c r="K33" i="76"/>
  <c r="AA33" i="76"/>
  <c r="M39" i="76"/>
  <c r="O40" i="76"/>
  <c r="AA42" i="76"/>
  <c r="AB38" i="76"/>
  <c r="X38" i="76"/>
  <c r="T38" i="76"/>
  <c r="P38" i="76"/>
  <c r="L38" i="76"/>
  <c r="H38" i="76"/>
  <c r="Q39" i="76"/>
  <c r="AA38" i="76"/>
  <c r="S38" i="76"/>
  <c r="G38" i="76"/>
  <c r="H31" i="76"/>
  <c r="P32" i="76"/>
  <c r="X36" i="76"/>
  <c r="J37" i="76"/>
  <c r="X37" i="76"/>
  <c r="J40" i="76"/>
  <c r="V40" i="76"/>
  <c r="J41" i="76"/>
  <c r="V41" i="76"/>
  <c r="T12" i="76"/>
  <c r="H15" i="76"/>
  <c r="P15" i="76"/>
  <c r="X15" i="76"/>
  <c r="H30" i="76"/>
  <c r="P31" i="76"/>
  <c r="X32" i="76"/>
  <c r="L33" i="76"/>
  <c r="T33" i="76"/>
  <c r="AB33" i="76"/>
  <c r="F37" i="76"/>
  <c r="M37" i="76"/>
  <c r="T37" i="76"/>
  <c r="Y37" i="76"/>
  <c r="J39" i="76"/>
  <c r="R39" i="76"/>
  <c r="Z39" i="76"/>
  <c r="N40" i="76"/>
  <c r="M41" i="76"/>
  <c r="R41" i="76"/>
  <c r="Y41" i="76"/>
  <c r="T42" i="76"/>
  <c r="F90" i="76"/>
  <c r="H12" i="76"/>
  <c r="X12" i="76"/>
  <c r="P30" i="76"/>
  <c r="X31" i="76"/>
  <c r="H36" i="76"/>
  <c r="H37" i="76"/>
  <c r="N37" i="76"/>
  <c r="Z37" i="76"/>
  <c r="F40" i="76"/>
  <c r="Z40" i="76"/>
  <c r="N41" i="76"/>
  <c r="Z41" i="76"/>
  <c r="G11" i="76"/>
  <c r="L12" i="76"/>
  <c r="AB12" i="76"/>
  <c r="U13" i="76"/>
  <c r="L15" i="76"/>
  <c r="T15" i="76"/>
  <c r="AB15" i="76"/>
  <c r="H33" i="76"/>
  <c r="P33" i="76"/>
  <c r="X33" i="76"/>
  <c r="P36" i="76"/>
  <c r="I37" i="76"/>
  <c r="Q37" i="76"/>
  <c r="V37" i="76"/>
  <c r="F39" i="76"/>
  <c r="N39" i="76"/>
  <c r="V39" i="76"/>
  <c r="R40" i="76"/>
  <c r="I41" i="76"/>
  <c r="U41" i="76"/>
  <c r="J12" i="76"/>
  <c r="J15" i="76"/>
  <c r="N12" i="76"/>
  <c r="N15" i="76"/>
  <c r="R12" i="76"/>
  <c r="R15" i="76"/>
  <c r="V12" i="76"/>
  <c r="V15" i="76"/>
  <c r="Z12" i="76"/>
  <c r="Z15" i="76"/>
  <c r="J13" i="76"/>
  <c r="R13" i="76"/>
  <c r="Z13" i="76"/>
  <c r="K41" i="76"/>
  <c r="K37" i="76"/>
  <c r="K39" i="76"/>
  <c r="K36" i="76"/>
  <c r="K31" i="76"/>
  <c r="K40" i="76"/>
  <c r="K32" i="76"/>
  <c r="K30" i="76"/>
  <c r="K42" i="76"/>
  <c r="K15" i="76"/>
  <c r="K13" i="76"/>
  <c r="O15" i="76"/>
  <c r="O13" i="76"/>
  <c r="S15" i="76"/>
  <c r="S13" i="76"/>
  <c r="W15" i="76"/>
  <c r="W13" i="76"/>
  <c r="AA15" i="76"/>
  <c r="AA13" i="76"/>
  <c r="J11" i="76"/>
  <c r="R11" i="76"/>
  <c r="Z11" i="76"/>
  <c r="K12" i="76"/>
  <c r="S12" i="76"/>
  <c r="AA12" i="76"/>
  <c r="K11" i="76"/>
  <c r="S11" i="76"/>
  <c r="AA11" i="76"/>
  <c r="N13" i="76"/>
  <c r="V13" i="76"/>
  <c r="E19" i="76"/>
  <c r="E18" i="76"/>
  <c r="F11" i="76"/>
  <c r="F16" i="76" s="1"/>
  <c r="N11" i="76"/>
  <c r="V11" i="76"/>
  <c r="G12" i="76"/>
  <c r="O12" i="76"/>
  <c r="W12" i="76"/>
  <c r="G41" i="76"/>
  <c r="G37" i="76"/>
  <c r="G39" i="76"/>
  <c r="O41" i="76"/>
  <c r="O37" i="76"/>
  <c r="O39" i="76"/>
  <c r="W41" i="76"/>
  <c r="W37" i="76"/>
  <c r="W39" i="76"/>
  <c r="AA30" i="76"/>
  <c r="S31" i="76"/>
  <c r="S36" i="76"/>
  <c r="AA36" i="76"/>
  <c r="H11" i="76"/>
  <c r="L11" i="76"/>
  <c r="P11" i="76"/>
  <c r="T11" i="76"/>
  <c r="X11" i="76"/>
  <c r="AB11" i="76"/>
  <c r="I12" i="76"/>
  <c r="I16" i="76" s="1"/>
  <c r="M12" i="76"/>
  <c r="Q12" i="76"/>
  <c r="U12" i="76"/>
  <c r="Y12" i="76"/>
  <c r="H39" i="76"/>
  <c r="H40" i="76"/>
  <c r="L39" i="76"/>
  <c r="L40" i="76"/>
  <c r="P39" i="76"/>
  <c r="P40" i="76"/>
  <c r="T39" i="76"/>
  <c r="T40" i="76"/>
  <c r="X39" i="76"/>
  <c r="X40" i="76"/>
  <c r="AB39" i="76"/>
  <c r="AB40" i="76"/>
  <c r="L30" i="76"/>
  <c r="T30" i="76"/>
  <c r="AB30" i="76"/>
  <c r="L31" i="76"/>
  <c r="T31" i="76"/>
  <c r="AB31" i="76"/>
  <c r="L32" i="76"/>
  <c r="T32" i="76"/>
  <c r="AB32" i="76"/>
  <c r="L36" i="76"/>
  <c r="T36" i="76"/>
  <c r="AB36" i="76"/>
  <c r="P37" i="76"/>
  <c r="L41" i="76"/>
  <c r="AB41" i="76"/>
  <c r="O42" i="76"/>
  <c r="W42" i="76"/>
  <c r="S41" i="76"/>
  <c r="S37" i="76"/>
  <c r="S39" i="76"/>
  <c r="AA41" i="76"/>
  <c r="AA37" i="76"/>
  <c r="AA39" i="76"/>
  <c r="S30" i="76"/>
  <c r="AA31" i="76"/>
  <c r="S32" i="76"/>
  <c r="AA32" i="76"/>
  <c r="G30" i="76"/>
  <c r="O30" i="76"/>
  <c r="W30" i="76"/>
  <c r="G31" i="76"/>
  <c r="O31" i="76"/>
  <c r="W31" i="76"/>
  <c r="G32" i="76"/>
  <c r="O32" i="76"/>
  <c r="W32" i="76"/>
  <c r="G36" i="76"/>
  <c r="O36" i="76"/>
  <c r="W36" i="76"/>
  <c r="L37" i="76"/>
  <c r="AB37" i="76"/>
  <c r="H41" i="76"/>
  <c r="X41" i="76"/>
  <c r="H42" i="76"/>
  <c r="P42" i="76"/>
  <c r="X42" i="76"/>
  <c r="E30" i="76"/>
  <c r="I30" i="76"/>
  <c r="M30" i="76"/>
  <c r="Q30" i="76"/>
  <c r="U30" i="76"/>
  <c r="Y30" i="76"/>
  <c r="E31" i="76"/>
  <c r="I31" i="76"/>
  <c r="M31" i="76"/>
  <c r="Q31" i="76"/>
  <c r="U31" i="76"/>
  <c r="Y31" i="76"/>
  <c r="E32" i="76"/>
  <c r="I32" i="76"/>
  <c r="M32" i="76"/>
  <c r="Q32" i="76"/>
  <c r="U32" i="76"/>
  <c r="Y32" i="76"/>
  <c r="E33" i="76"/>
  <c r="I33" i="76"/>
  <c r="M33" i="76"/>
  <c r="Q33" i="76"/>
  <c r="U33" i="76"/>
  <c r="Y33" i="76"/>
  <c r="E36" i="76"/>
  <c r="I36" i="76"/>
  <c r="M36" i="76"/>
  <c r="Q36" i="76"/>
  <c r="U36" i="76"/>
  <c r="Y36" i="76"/>
  <c r="I42" i="76"/>
  <c r="M42" i="76"/>
  <c r="Q42" i="76"/>
  <c r="U42" i="76"/>
  <c r="Y42" i="76"/>
  <c r="F30" i="76"/>
  <c r="J30" i="76"/>
  <c r="N30" i="76"/>
  <c r="R30" i="76"/>
  <c r="V30" i="76"/>
  <c r="Z30" i="76"/>
  <c r="F31" i="76"/>
  <c r="J31" i="76"/>
  <c r="N31" i="76"/>
  <c r="R31" i="76"/>
  <c r="V31" i="76"/>
  <c r="Z31" i="76"/>
  <c r="F32" i="76"/>
  <c r="J32" i="76"/>
  <c r="N32" i="76"/>
  <c r="R32" i="76"/>
  <c r="V32" i="76"/>
  <c r="Z32" i="76"/>
  <c r="F33" i="76"/>
  <c r="J33" i="76"/>
  <c r="N33" i="76"/>
  <c r="R33" i="76"/>
  <c r="V33" i="76"/>
  <c r="J36" i="76"/>
  <c r="N36" i="76"/>
  <c r="R36" i="76"/>
  <c r="V36" i="76"/>
  <c r="Z36" i="76"/>
  <c r="H132" i="75"/>
  <c r="H134" i="75"/>
  <c r="G131" i="75"/>
  <c r="F129" i="75"/>
  <c r="I133" i="75"/>
  <c r="D149" i="75"/>
  <c r="Q77" i="75" s="1"/>
  <c r="H133" i="75"/>
  <c r="G134" i="75"/>
  <c r="G138" i="75" s="1"/>
  <c r="E129" i="75"/>
  <c r="I137" i="75" s="1"/>
  <c r="E134" i="75"/>
  <c r="I142" i="75" s="1"/>
  <c r="F134" i="75"/>
  <c r="G129" i="75"/>
  <c r="G132" i="75"/>
  <c r="I130" i="75"/>
  <c r="H130" i="75"/>
  <c r="H146" i="75" s="1"/>
  <c r="F131" i="75"/>
  <c r="I129" i="75"/>
  <c r="G130" i="75"/>
  <c r="I131" i="75"/>
  <c r="E132" i="75"/>
  <c r="F132" i="75"/>
  <c r="G133" i="75"/>
  <c r="E131" i="75"/>
  <c r="E130" i="75"/>
  <c r="I138" i="75" s="1"/>
  <c r="E133" i="75"/>
  <c r="J87" i="75"/>
  <c r="G105" i="75"/>
  <c r="E105" i="75"/>
  <c r="F105" i="75"/>
  <c r="I105" i="75"/>
  <c r="H105" i="75"/>
  <c r="E106" i="75"/>
  <c r="N195" i="75"/>
  <c r="O196" i="75" s="1"/>
  <c r="N201" i="75"/>
  <c r="O202" i="75" s="1"/>
  <c r="O207" i="75"/>
  <c r="P207" i="75" s="1"/>
  <c r="O206" i="75"/>
  <c r="P206" i="75" s="1"/>
  <c r="N198" i="75"/>
  <c r="O199" i="75" s="1"/>
  <c r="J88" i="75"/>
  <c r="J86" i="75"/>
  <c r="G64" i="75"/>
  <c r="J64" i="72"/>
  <c r="K64" i="72"/>
  <c r="O194" i="72"/>
  <c r="G81" i="72"/>
  <c r="P197" i="72"/>
  <c r="E103" i="71"/>
  <c r="K64" i="71"/>
  <c r="F103" i="71"/>
  <c r="K86" i="71"/>
  <c r="M86" i="71" s="1"/>
  <c r="J67" i="71" s="1"/>
  <c r="O197" i="71"/>
  <c r="P197" i="71" s="1"/>
  <c r="AI18" i="69"/>
  <c r="AI23" i="69" s="1"/>
  <c r="AI53" i="69" s="1"/>
  <c r="AM18" i="69"/>
  <c r="AM23" i="69" s="1"/>
  <c r="AM53" i="69" s="1"/>
  <c r="AE18" i="69"/>
  <c r="AE23" i="69" s="1"/>
  <c r="AE53" i="69" s="1"/>
  <c r="AL16" i="69"/>
  <c r="AL17" i="69"/>
  <c r="AH16" i="69"/>
  <c r="AH17" i="69"/>
  <c r="AK17" i="69"/>
  <c r="AN17" i="69"/>
  <c r="AJ17" i="69"/>
  <c r="AJ18" i="69" s="1"/>
  <c r="AJ23" i="69" s="1"/>
  <c r="AJ53" i="69" s="1"/>
  <c r="AF17" i="69"/>
  <c r="AF18" i="69" s="1"/>
  <c r="AF23" i="69" s="1"/>
  <c r="AF53" i="69" s="1"/>
  <c r="AK18" i="69"/>
  <c r="AK23" i="69" s="1"/>
  <c r="AK53" i="69" s="1"/>
  <c r="AG16" i="69"/>
  <c r="AG18" i="69" s="1"/>
  <c r="AG23" i="69" s="1"/>
  <c r="AG53" i="69" s="1"/>
  <c r="AN18" i="69"/>
  <c r="AN23" i="69" s="1"/>
  <c r="AN53" i="69" s="1"/>
  <c r="AD16" i="69"/>
  <c r="AD18" i="69" s="1"/>
  <c r="AD23" i="69" s="1"/>
  <c r="AD53" i="69" s="1"/>
  <c r="AC17" i="69"/>
  <c r="AC18" i="69" s="1"/>
  <c r="AC23" i="69" s="1"/>
  <c r="AC53" i="69" s="1"/>
  <c r="P200" i="72" l="1"/>
  <c r="C181" i="72" s="1"/>
  <c r="C174" i="72" s="1"/>
  <c r="L64" i="72"/>
  <c r="L65" i="72" s="1"/>
  <c r="L66" i="72" s="1"/>
  <c r="G66" i="72"/>
  <c r="M64" i="72" s="1"/>
  <c r="F121" i="71"/>
  <c r="F106" i="71"/>
  <c r="F139" i="71" s="1"/>
  <c r="E121" i="71"/>
  <c r="E106" i="71"/>
  <c r="E139" i="71" s="1"/>
  <c r="P200" i="71"/>
  <c r="C181" i="71" s="1"/>
  <c r="C174" i="71" s="1"/>
  <c r="P16" i="76"/>
  <c r="W16" i="76"/>
  <c r="Y16" i="76"/>
  <c r="Q16" i="76"/>
  <c r="Q19" i="76" s="1"/>
  <c r="G16" i="76"/>
  <c r="G18" i="76" s="1"/>
  <c r="M16" i="76"/>
  <c r="M18" i="76" s="1"/>
  <c r="T16" i="76"/>
  <c r="F102" i="75"/>
  <c r="AB16" i="76"/>
  <c r="AB18" i="76" s="1"/>
  <c r="X16" i="76"/>
  <c r="X19" i="76" s="1"/>
  <c r="AA16" i="76"/>
  <c r="AA18" i="76" s="1"/>
  <c r="L16" i="76"/>
  <c r="L19" i="76" s="1"/>
  <c r="J16" i="76"/>
  <c r="J19" i="76" s="1"/>
  <c r="N16" i="76"/>
  <c r="N19" i="76" s="1"/>
  <c r="U16" i="76"/>
  <c r="U19" i="76" s="1"/>
  <c r="E20" i="76"/>
  <c r="H16" i="76"/>
  <c r="H18" i="76" s="1"/>
  <c r="O16" i="76"/>
  <c r="O19" i="76" s="1"/>
  <c r="Y19" i="76"/>
  <c r="Y18" i="76"/>
  <c r="I19" i="76"/>
  <c r="I18" i="76"/>
  <c r="W18" i="76"/>
  <c r="W19" i="76"/>
  <c r="P19" i="76"/>
  <c r="P18" i="76"/>
  <c r="F18" i="76"/>
  <c r="F19" i="76"/>
  <c r="K16" i="76"/>
  <c r="Z16" i="76"/>
  <c r="Q18" i="76"/>
  <c r="S16" i="76"/>
  <c r="T19" i="76"/>
  <c r="T18" i="76"/>
  <c r="V16" i="76"/>
  <c r="R16" i="76"/>
  <c r="G146" i="75"/>
  <c r="F146" i="75"/>
  <c r="N82" i="75"/>
  <c r="N79" i="75"/>
  <c r="N83" i="75"/>
  <c r="N81" i="75"/>
  <c r="D158" i="75"/>
  <c r="I146" i="75"/>
  <c r="N78" i="75"/>
  <c r="N80" i="75"/>
  <c r="P208" i="75"/>
  <c r="K86" i="75"/>
  <c r="K64" i="75"/>
  <c r="K65" i="75" s="1"/>
  <c r="K66" i="75" s="1"/>
  <c r="E146" i="75"/>
  <c r="O78" i="75"/>
  <c r="E114" i="75" s="1"/>
  <c r="G65" i="75"/>
  <c r="O78" i="72"/>
  <c r="N81" i="72"/>
  <c r="N80" i="72"/>
  <c r="K65" i="72"/>
  <c r="K66" i="72" s="1"/>
  <c r="K67" i="72" s="1"/>
  <c r="N82" i="72"/>
  <c r="N79" i="72"/>
  <c r="N78" i="72"/>
  <c r="K65" i="71"/>
  <c r="K66" i="71" s="1"/>
  <c r="G103" i="71"/>
  <c r="L64" i="71"/>
  <c r="L65" i="71" s="1"/>
  <c r="L66" i="71" s="1"/>
  <c r="AH18" i="69"/>
  <c r="AH23" i="69" s="1"/>
  <c r="AH53" i="69" s="1"/>
  <c r="AL18" i="69"/>
  <c r="AL23" i="69" s="1"/>
  <c r="AL53" i="69" s="1"/>
  <c r="L67" i="72" l="1"/>
  <c r="P78" i="72"/>
  <c r="Q78" i="72" s="1"/>
  <c r="M65" i="72"/>
  <c r="M66" i="72" s="1"/>
  <c r="M67" i="72" s="1"/>
  <c r="G67" i="72"/>
  <c r="G106" i="71"/>
  <c r="G121" i="71"/>
  <c r="F140" i="71"/>
  <c r="F141" i="71" s="1"/>
  <c r="E140" i="71"/>
  <c r="E141" i="71" s="1"/>
  <c r="AB19" i="76"/>
  <c r="G19" i="76"/>
  <c r="G20" i="76" s="1"/>
  <c r="M19" i="76"/>
  <c r="M20" i="76" s="1"/>
  <c r="E25" i="76"/>
  <c r="E56" i="76" s="1"/>
  <c r="E57" i="76" s="1"/>
  <c r="AA19" i="76"/>
  <c r="X18" i="76"/>
  <c r="X20" i="76" s="1"/>
  <c r="G102" i="75"/>
  <c r="F120" i="75"/>
  <c r="F106" i="75"/>
  <c r="AB20" i="76"/>
  <c r="Q20" i="76"/>
  <c r="J18" i="76"/>
  <c r="J20" i="76" s="1"/>
  <c r="T20" i="76"/>
  <c r="L18" i="76"/>
  <c r="L20" i="76" s="1"/>
  <c r="U18" i="76"/>
  <c r="U20" i="76" s="1"/>
  <c r="H19" i="76"/>
  <c r="N18" i="76"/>
  <c r="N20" i="76" s="1"/>
  <c r="Y20" i="76"/>
  <c r="H20" i="76"/>
  <c r="F20" i="76"/>
  <c r="P20" i="76"/>
  <c r="I20" i="76"/>
  <c r="AA20" i="76"/>
  <c r="O18" i="76"/>
  <c r="O20" i="76" s="1"/>
  <c r="W20" i="76"/>
  <c r="Z19" i="76"/>
  <c r="Z18" i="76"/>
  <c r="V18" i="76"/>
  <c r="V19" i="76"/>
  <c r="S19" i="76"/>
  <c r="S18" i="76"/>
  <c r="K18" i="76"/>
  <c r="K19" i="76"/>
  <c r="R18" i="76"/>
  <c r="R19" i="76"/>
  <c r="M86" i="75"/>
  <c r="H69" i="75" s="1"/>
  <c r="J67" i="75" s="1"/>
  <c r="K67" i="75" s="1"/>
  <c r="I119" i="75"/>
  <c r="G119" i="75"/>
  <c r="F119" i="75"/>
  <c r="E119" i="75"/>
  <c r="E143" i="75" s="1"/>
  <c r="H119" i="75"/>
  <c r="P78" i="75"/>
  <c r="L64" i="75"/>
  <c r="L65" i="75" s="1"/>
  <c r="L66" i="75" s="1"/>
  <c r="G66" i="75"/>
  <c r="H103" i="71"/>
  <c r="M64" i="71"/>
  <c r="M65" i="71" s="1"/>
  <c r="M66" i="71" s="1"/>
  <c r="N64" i="72" l="1"/>
  <c r="N65" i="72" s="1"/>
  <c r="N66" i="72" s="1"/>
  <c r="N67" i="72"/>
  <c r="H121" i="71"/>
  <c r="G139" i="71"/>
  <c r="O25" i="76"/>
  <c r="O56" i="76" s="1"/>
  <c r="F25" i="76"/>
  <c r="F56" i="76" s="1"/>
  <c r="F57" i="76" s="1"/>
  <c r="X25" i="76"/>
  <c r="X56" i="76" s="1"/>
  <c r="T25" i="76"/>
  <c r="T56" i="76" s="1"/>
  <c r="M25" i="76"/>
  <c r="M56" i="76" s="1"/>
  <c r="G25" i="76"/>
  <c r="G56" i="76" s="1"/>
  <c r="AA25" i="76"/>
  <c r="AA56" i="76" s="1"/>
  <c r="H25" i="76"/>
  <c r="H56" i="76" s="1"/>
  <c r="J25" i="76"/>
  <c r="J56" i="76" s="1"/>
  <c r="W25" i="76"/>
  <c r="W56" i="76" s="1"/>
  <c r="I25" i="76"/>
  <c r="I56" i="76" s="1"/>
  <c r="Y25" i="76"/>
  <c r="Y56" i="76" s="1"/>
  <c r="U25" i="76"/>
  <c r="U56" i="76" s="1"/>
  <c r="Q25" i="76"/>
  <c r="Q56" i="76" s="1"/>
  <c r="L25" i="76"/>
  <c r="L56" i="76" s="1"/>
  <c r="P25" i="76"/>
  <c r="P56" i="76" s="1"/>
  <c r="N25" i="76"/>
  <c r="N56" i="76" s="1"/>
  <c r="AB25" i="76"/>
  <c r="AB56" i="76" s="1"/>
  <c r="H102" i="75"/>
  <c r="G106" i="75"/>
  <c r="G120" i="75"/>
  <c r="S20" i="76"/>
  <c r="V20" i="76"/>
  <c r="R20" i="76"/>
  <c r="K20" i="76"/>
  <c r="Z20" i="76"/>
  <c r="Q78" i="75"/>
  <c r="O79" i="75" s="1"/>
  <c r="F114" i="75" s="1"/>
  <c r="E148" i="75"/>
  <c r="L67" i="75"/>
  <c r="M64" i="75"/>
  <c r="M65" i="75" s="1"/>
  <c r="M66" i="75" s="1"/>
  <c r="G67" i="75"/>
  <c r="E144" i="75"/>
  <c r="E145" i="75" s="1"/>
  <c r="E158" i="75" s="1"/>
  <c r="O79" i="72"/>
  <c r="N64" i="71"/>
  <c r="N65" i="71" s="1"/>
  <c r="N66" i="71" s="1"/>
  <c r="I103" i="71"/>
  <c r="E152" i="71"/>
  <c r="M67" i="71"/>
  <c r="H106" i="71" s="1"/>
  <c r="H139" i="71" s="1"/>
  <c r="H140" i="71" l="1"/>
  <c r="H141" i="71" s="1"/>
  <c r="I121" i="71"/>
  <c r="G140" i="71"/>
  <c r="G141" i="71" s="1"/>
  <c r="G57" i="76"/>
  <c r="H57" i="76" s="1"/>
  <c r="I57" i="76" s="1"/>
  <c r="J57" i="76" s="1"/>
  <c r="K25" i="76"/>
  <c r="K56" i="76" s="1"/>
  <c r="S25" i="76"/>
  <c r="S56" i="76" s="1"/>
  <c r="R25" i="76"/>
  <c r="R56" i="76" s="1"/>
  <c r="Z25" i="76"/>
  <c r="Z56" i="76" s="1"/>
  <c r="V25" i="76"/>
  <c r="V56" i="76" s="1"/>
  <c r="I102" i="75"/>
  <c r="H120" i="75"/>
  <c r="H106" i="75"/>
  <c r="M67" i="75"/>
  <c r="F143" i="75"/>
  <c r="P79" i="75"/>
  <c r="F148" i="75" s="1"/>
  <c r="N64" i="75"/>
  <c r="N65" i="75" s="1"/>
  <c r="N66" i="75" s="1"/>
  <c r="N67" i="75" s="1"/>
  <c r="P79" i="72"/>
  <c r="N67" i="71"/>
  <c r="I139" i="71" l="1"/>
  <c r="K57" i="76"/>
  <c r="L57" i="76" s="1"/>
  <c r="M57" i="76" s="1"/>
  <c r="N57" i="76" s="1"/>
  <c r="O57" i="76" s="1"/>
  <c r="P57" i="76" s="1"/>
  <c r="Q57" i="76" s="1"/>
  <c r="R57" i="76" s="1"/>
  <c r="S57" i="76" s="1"/>
  <c r="I106" i="75"/>
  <c r="I120" i="75"/>
  <c r="Q79" i="75"/>
  <c r="F144" i="75"/>
  <c r="F145" i="75" s="1"/>
  <c r="Q79" i="72"/>
  <c r="I140" i="71" l="1"/>
  <c r="I141" i="71" s="1"/>
  <c r="T57" i="76"/>
  <c r="U57" i="76" s="1"/>
  <c r="V57" i="76" s="1"/>
  <c r="W57" i="76" s="1"/>
  <c r="X57" i="76" s="1"/>
  <c r="Y57" i="76" s="1"/>
  <c r="Z57" i="76" s="1"/>
  <c r="AA57" i="76" s="1"/>
  <c r="AB57" i="76" s="1"/>
  <c r="O80" i="75"/>
  <c r="G114" i="75" s="1"/>
  <c r="F158" i="75"/>
  <c r="O80" i="72"/>
  <c r="F152" i="71"/>
  <c r="F63" i="76" l="1"/>
  <c r="J73" i="76" s="1"/>
  <c r="I74" i="76" s="1"/>
  <c r="J74" i="76" s="1"/>
  <c r="I75" i="76" s="1"/>
  <c r="J75" i="76" s="1"/>
  <c r="I76" i="76" s="1"/>
  <c r="G143" i="75"/>
  <c r="P80" i="75"/>
  <c r="G148" i="75" s="1"/>
  <c r="P80" i="72"/>
  <c r="J76" i="76" l="1"/>
  <c r="I77" i="76" s="1"/>
  <c r="Q80" i="75"/>
  <c r="G144" i="75"/>
  <c r="G145" i="75" s="1"/>
  <c r="G158" i="75" s="1"/>
  <c r="Q80" i="72"/>
  <c r="J77" i="76" l="1"/>
  <c r="I78" i="76" s="1"/>
  <c r="J78" i="76" s="1"/>
  <c r="O81" i="75"/>
  <c r="H114" i="75" s="1"/>
  <c r="O81" i="72"/>
  <c r="G152" i="71"/>
  <c r="H143" i="75" l="1"/>
  <c r="P81" i="75"/>
  <c r="H148" i="75" s="1"/>
  <c r="P81" i="72"/>
  <c r="Q81" i="75" l="1"/>
  <c r="H144" i="75"/>
  <c r="H145" i="75" s="1"/>
  <c r="H158" i="75" s="1"/>
  <c r="Q81" i="72"/>
  <c r="O82" i="75" l="1"/>
  <c r="I114" i="75" s="1"/>
  <c r="O82" i="72"/>
  <c r="H152" i="71"/>
  <c r="I143" i="75" l="1"/>
  <c r="P82" i="75"/>
  <c r="I148" i="75" s="1"/>
  <c r="P82" i="72"/>
  <c r="Q82" i="75" l="1"/>
  <c r="O83" i="75" s="1"/>
  <c r="P83" i="75" s="1"/>
  <c r="Q83" i="75" s="1"/>
  <c r="I144" i="75"/>
  <c r="I145" i="75" s="1"/>
  <c r="I158" i="75" s="1"/>
  <c r="J158" i="75" s="1"/>
  <c r="Q82" i="72"/>
  <c r="I152" i="71" l="1"/>
  <c r="J152" i="71" s="1"/>
  <c r="J95" i="69" l="1"/>
  <c r="G95" i="69"/>
  <c r="H95" i="69" s="1"/>
  <c r="J94" i="69"/>
  <c r="G94" i="69"/>
  <c r="H94" i="69" s="1"/>
  <c r="J93" i="69"/>
  <c r="H93" i="69"/>
  <c r="G93" i="69"/>
  <c r="J92" i="69"/>
  <c r="G92" i="69"/>
  <c r="H92" i="69" s="1"/>
  <c r="H91" i="69"/>
  <c r="J91" i="69" s="1"/>
  <c r="K91" i="69" s="1"/>
  <c r="M91" i="69" s="1"/>
  <c r="G91" i="69"/>
  <c r="F87" i="69"/>
  <c r="F86" i="69"/>
  <c r="F85" i="69"/>
  <c r="F84" i="69"/>
  <c r="H75" i="69"/>
  <c r="H74" i="69"/>
  <c r="H73" i="69"/>
  <c r="D73" i="69"/>
  <c r="H72" i="69"/>
  <c r="Y51" i="69"/>
  <c r="X51" i="69"/>
  <c r="T51" i="69"/>
  <c r="S51" i="69"/>
  <c r="O51" i="69"/>
  <c r="M51" i="69"/>
  <c r="I51" i="69"/>
  <c r="H51" i="69"/>
  <c r="C51" i="69"/>
  <c r="W50" i="69"/>
  <c r="L50" i="69"/>
  <c r="C50" i="69"/>
  <c r="AB49" i="69"/>
  <c r="AA49" i="69"/>
  <c r="Z49" i="69"/>
  <c r="Y49" i="69"/>
  <c r="X49" i="69"/>
  <c r="W49" i="69"/>
  <c r="V49" i="69"/>
  <c r="U49" i="69"/>
  <c r="T49" i="69"/>
  <c r="S49" i="69"/>
  <c r="R49" i="69"/>
  <c r="Q49" i="69"/>
  <c r="P49" i="69"/>
  <c r="O49" i="69"/>
  <c r="N49" i="69"/>
  <c r="M49" i="69"/>
  <c r="L49" i="69"/>
  <c r="K49" i="69"/>
  <c r="J49" i="69"/>
  <c r="I49" i="69"/>
  <c r="H49" i="69"/>
  <c r="G49" i="69"/>
  <c r="F49" i="69"/>
  <c r="E49" i="69"/>
  <c r="AB47" i="69"/>
  <c r="AA47" i="69"/>
  <c r="Z47" i="69"/>
  <c r="Y47" i="69"/>
  <c r="X47" i="69"/>
  <c r="W47" i="69"/>
  <c r="V47" i="69"/>
  <c r="U47" i="69"/>
  <c r="T47" i="69"/>
  <c r="S47" i="69"/>
  <c r="R47" i="69"/>
  <c r="Q47" i="69"/>
  <c r="P47" i="69"/>
  <c r="O47" i="69"/>
  <c r="N47" i="69"/>
  <c r="M47" i="69"/>
  <c r="L47" i="69"/>
  <c r="K47" i="69"/>
  <c r="J47" i="69"/>
  <c r="I47" i="69"/>
  <c r="H47" i="69"/>
  <c r="G47" i="69"/>
  <c r="F47" i="69"/>
  <c r="E47" i="69"/>
  <c r="AB46" i="69"/>
  <c r="AA46" i="69"/>
  <c r="Z46" i="69"/>
  <c r="Y46" i="69"/>
  <c r="X46" i="69"/>
  <c r="W46" i="69"/>
  <c r="V46" i="69"/>
  <c r="U46" i="69"/>
  <c r="T46" i="69"/>
  <c r="S46" i="69"/>
  <c r="R46" i="69"/>
  <c r="Q46" i="69"/>
  <c r="P46" i="69"/>
  <c r="O46" i="69"/>
  <c r="N46" i="69"/>
  <c r="M46" i="69"/>
  <c r="L46" i="69"/>
  <c r="K46" i="69"/>
  <c r="J46" i="69"/>
  <c r="I46" i="69"/>
  <c r="H46" i="69"/>
  <c r="G46" i="69"/>
  <c r="F46" i="69"/>
  <c r="E46" i="69"/>
  <c r="AB45" i="69"/>
  <c r="AA45" i="69"/>
  <c r="Z45" i="69"/>
  <c r="Y45" i="69"/>
  <c r="X45" i="69"/>
  <c r="W45" i="69"/>
  <c r="V45" i="69"/>
  <c r="U45" i="69"/>
  <c r="T45" i="69"/>
  <c r="S45" i="69"/>
  <c r="R45" i="69"/>
  <c r="Q45" i="69"/>
  <c r="P45" i="69"/>
  <c r="O45" i="69"/>
  <c r="N45" i="69"/>
  <c r="M45" i="69"/>
  <c r="L45" i="69"/>
  <c r="K45" i="69"/>
  <c r="J45" i="69"/>
  <c r="I45" i="69"/>
  <c r="H45" i="69"/>
  <c r="G45" i="69"/>
  <c r="F45" i="69"/>
  <c r="E45" i="69"/>
  <c r="AB44" i="69"/>
  <c r="AA44" i="69"/>
  <c r="Z44" i="69"/>
  <c r="Y44" i="69"/>
  <c r="X44" i="69"/>
  <c r="W44" i="69"/>
  <c r="V44" i="69"/>
  <c r="U44" i="69"/>
  <c r="T44" i="69"/>
  <c r="S44" i="69"/>
  <c r="R44" i="69"/>
  <c r="Q44" i="69"/>
  <c r="P44" i="69"/>
  <c r="O44" i="69"/>
  <c r="N44" i="69"/>
  <c r="M44" i="69"/>
  <c r="L44" i="69"/>
  <c r="K44" i="69"/>
  <c r="J44" i="69"/>
  <c r="I44" i="69"/>
  <c r="H44" i="69"/>
  <c r="G44" i="69"/>
  <c r="F44" i="69"/>
  <c r="E44" i="69"/>
  <c r="AB43" i="69"/>
  <c r="AA43" i="69"/>
  <c r="Z43" i="69"/>
  <c r="Y43" i="69"/>
  <c r="X43" i="69"/>
  <c r="W43" i="69"/>
  <c r="V43" i="69"/>
  <c r="U43" i="69"/>
  <c r="T43" i="69"/>
  <c r="S43" i="69"/>
  <c r="R43" i="69"/>
  <c r="Q43" i="69"/>
  <c r="P43" i="69"/>
  <c r="O43" i="69"/>
  <c r="N43" i="69"/>
  <c r="M43" i="69"/>
  <c r="L43" i="69"/>
  <c r="K43" i="69"/>
  <c r="J43" i="69"/>
  <c r="I43" i="69"/>
  <c r="H43" i="69"/>
  <c r="G43" i="69"/>
  <c r="F43" i="69"/>
  <c r="E43" i="69"/>
  <c r="Y39" i="69"/>
  <c r="X39" i="69"/>
  <c r="U39" i="69"/>
  <c r="T39" i="69"/>
  <c r="M39" i="69"/>
  <c r="I39" i="69"/>
  <c r="H39" i="69"/>
  <c r="Y38" i="69"/>
  <c r="X38" i="69"/>
  <c r="U38" i="69"/>
  <c r="T38" i="69"/>
  <c r="N38" i="69"/>
  <c r="M38" i="69"/>
  <c r="I38" i="69"/>
  <c r="H38" i="69"/>
  <c r="Z37" i="69"/>
  <c r="X37" i="69"/>
  <c r="T37" i="69"/>
  <c r="N37" i="69"/>
  <c r="J37" i="69"/>
  <c r="H37" i="69"/>
  <c r="Z36" i="69"/>
  <c r="V36" i="69"/>
  <c r="U36" i="69"/>
  <c r="Q36" i="69"/>
  <c r="M36" i="69"/>
  <c r="J36" i="69"/>
  <c r="F36" i="69"/>
  <c r="AB35" i="69"/>
  <c r="Y35" i="69"/>
  <c r="X35" i="69"/>
  <c r="V35" i="69"/>
  <c r="R35" i="69"/>
  <c r="Q35" i="69"/>
  <c r="M35" i="69"/>
  <c r="L35" i="69"/>
  <c r="I35" i="69"/>
  <c r="H35" i="69"/>
  <c r="F35" i="69"/>
  <c r="Y34" i="69"/>
  <c r="X34" i="69"/>
  <c r="U34" i="69"/>
  <c r="T34" i="69"/>
  <c r="M34" i="69"/>
  <c r="I34" i="69"/>
  <c r="H34" i="69"/>
  <c r="E34" i="69"/>
  <c r="AB31" i="69"/>
  <c r="AA31" i="69"/>
  <c r="X31" i="69"/>
  <c r="W31" i="69"/>
  <c r="U31" i="69"/>
  <c r="S31" i="69"/>
  <c r="Q31" i="69"/>
  <c r="P31" i="69"/>
  <c r="M31" i="69"/>
  <c r="L31" i="69"/>
  <c r="K31" i="69"/>
  <c r="H31" i="69"/>
  <c r="G31" i="69"/>
  <c r="E31" i="69"/>
  <c r="Y30" i="69"/>
  <c r="X30" i="69"/>
  <c r="U30" i="69"/>
  <c r="T30" i="69"/>
  <c r="M30" i="69"/>
  <c r="I30" i="69"/>
  <c r="H30" i="69"/>
  <c r="E30" i="69"/>
  <c r="AB29" i="69"/>
  <c r="U29" i="69"/>
  <c r="Q29" i="69"/>
  <c r="P29" i="69"/>
  <c r="M29" i="69"/>
  <c r="L29" i="69"/>
  <c r="E29" i="69"/>
  <c r="Y28" i="69"/>
  <c r="X28" i="69"/>
  <c r="U28" i="69"/>
  <c r="T28" i="69"/>
  <c r="N28" i="69"/>
  <c r="J28" i="69"/>
  <c r="F28" i="69"/>
  <c r="AB25" i="69"/>
  <c r="AB36" i="69" s="1"/>
  <c r="AA25" i="69"/>
  <c r="Z25" i="69"/>
  <c r="Y25" i="69"/>
  <c r="Y37" i="69" s="1"/>
  <c r="X25" i="69"/>
  <c r="X36" i="69" s="1"/>
  <c r="W25" i="69"/>
  <c r="V25" i="69"/>
  <c r="U25" i="69"/>
  <c r="U37" i="69" s="1"/>
  <c r="T25" i="69"/>
  <c r="T36" i="69" s="1"/>
  <c r="S25" i="69"/>
  <c r="R25" i="69"/>
  <c r="Q25" i="69"/>
  <c r="Q37" i="69" s="1"/>
  <c r="P25" i="69"/>
  <c r="P36" i="69" s="1"/>
  <c r="O25" i="69"/>
  <c r="N25" i="69"/>
  <c r="M25" i="69"/>
  <c r="M37" i="69" s="1"/>
  <c r="L25" i="69"/>
  <c r="L36" i="69" s="1"/>
  <c r="K25" i="69"/>
  <c r="J25" i="69"/>
  <c r="I25" i="69"/>
  <c r="I37" i="69" s="1"/>
  <c r="H25" i="69"/>
  <c r="H36" i="69" s="1"/>
  <c r="G25" i="69"/>
  <c r="F25" i="69"/>
  <c r="E25" i="69"/>
  <c r="L14" i="69"/>
  <c r="C14" i="69"/>
  <c r="U13" i="69"/>
  <c r="T13" i="69"/>
  <c r="P13" i="69"/>
  <c r="L13" i="69"/>
  <c r="H13" i="69"/>
  <c r="X12" i="69"/>
  <c r="Q12" i="69"/>
  <c r="P12" i="69"/>
  <c r="L12" i="69"/>
  <c r="J12" i="69"/>
  <c r="H12" i="69"/>
  <c r="T11" i="69"/>
  <c r="P11" i="69"/>
  <c r="N11" i="69"/>
  <c r="L11" i="69"/>
  <c r="H11" i="69"/>
  <c r="F11" i="69"/>
  <c r="Y10" i="69"/>
  <c r="N10" i="69"/>
  <c r="M10" i="69"/>
  <c r="J10" i="69"/>
  <c r="I10" i="69"/>
  <c r="AB7" i="69"/>
  <c r="AB10" i="69" s="1"/>
  <c r="AA7" i="69"/>
  <c r="AA12" i="69" s="1"/>
  <c r="Z7" i="69"/>
  <c r="Z13" i="69" s="1"/>
  <c r="Y7" i="69"/>
  <c r="Y11" i="69" s="1"/>
  <c r="X7" i="69"/>
  <c r="X10" i="69" s="1"/>
  <c r="W7" i="69"/>
  <c r="W12" i="69" s="1"/>
  <c r="V7" i="69"/>
  <c r="V13" i="69" s="1"/>
  <c r="U7" i="69"/>
  <c r="U11" i="69" s="1"/>
  <c r="T7" i="69"/>
  <c r="T10" i="69" s="1"/>
  <c r="S7" i="69"/>
  <c r="S12" i="69" s="1"/>
  <c r="R7" i="69"/>
  <c r="R13" i="69" s="1"/>
  <c r="Q7" i="69"/>
  <c r="Q11" i="69" s="1"/>
  <c r="P7" i="69"/>
  <c r="P10" i="69" s="1"/>
  <c r="P14" i="69" s="1"/>
  <c r="O7" i="69"/>
  <c r="O12" i="69" s="1"/>
  <c r="N7" i="69"/>
  <c r="N13" i="69" s="1"/>
  <c r="M7" i="69"/>
  <c r="M11" i="69" s="1"/>
  <c r="L7" i="69"/>
  <c r="L10" i="69" s="1"/>
  <c r="K7" i="69"/>
  <c r="K12" i="69" s="1"/>
  <c r="J7" i="69"/>
  <c r="J13" i="69" s="1"/>
  <c r="I7" i="69"/>
  <c r="I11" i="69" s="1"/>
  <c r="H7" i="69"/>
  <c r="H10" i="69" s="1"/>
  <c r="H14" i="69" s="1"/>
  <c r="G7" i="69"/>
  <c r="G12" i="69" s="1"/>
  <c r="F7" i="69"/>
  <c r="F10" i="69" s="1"/>
  <c r="F14" i="69" s="1"/>
  <c r="E7" i="69"/>
  <c r="E10" i="69" s="1"/>
  <c r="E14" i="69" s="1"/>
  <c r="G76" i="68"/>
  <c r="L196" i="68"/>
  <c r="O195" i="68" s="1"/>
  <c r="D196" i="68"/>
  <c r="P195" i="68"/>
  <c r="O194" i="68"/>
  <c r="P194" i="68" s="1"/>
  <c r="N190" i="68"/>
  <c r="N189" i="68"/>
  <c r="N187" i="68"/>
  <c r="O187" i="68" s="1"/>
  <c r="N186" i="68"/>
  <c r="O184" i="68"/>
  <c r="N184" i="68"/>
  <c r="N183" i="68"/>
  <c r="C181" i="68"/>
  <c r="C175" i="68"/>
  <c r="H172" i="68"/>
  <c r="C172" i="68"/>
  <c r="J164" i="68"/>
  <c r="I147" i="68"/>
  <c r="D144" i="68"/>
  <c r="D143" i="68"/>
  <c r="G127" i="68" s="1"/>
  <c r="G131" i="68" s="1"/>
  <c r="G107" i="68" s="1"/>
  <c r="D142" i="68"/>
  <c r="H126" i="68"/>
  <c r="H138" i="68" s="1"/>
  <c r="I123" i="68"/>
  <c r="D145" i="68"/>
  <c r="D146" i="68" s="1"/>
  <c r="I118" i="68"/>
  <c r="H118" i="68"/>
  <c r="G118" i="68"/>
  <c r="F118" i="68"/>
  <c r="E118" i="68"/>
  <c r="I117" i="68"/>
  <c r="H117" i="68"/>
  <c r="G117" i="68"/>
  <c r="F117" i="68"/>
  <c r="E117" i="68"/>
  <c r="I112" i="68"/>
  <c r="H112" i="68"/>
  <c r="G112" i="68"/>
  <c r="F112" i="68"/>
  <c r="E112" i="68"/>
  <c r="I105" i="68"/>
  <c r="H105" i="68"/>
  <c r="G105" i="68"/>
  <c r="F105" i="68"/>
  <c r="E105" i="68"/>
  <c r="J90" i="68"/>
  <c r="G90" i="68"/>
  <c r="H90" i="68" s="1"/>
  <c r="G89" i="68"/>
  <c r="H89" i="68" s="1"/>
  <c r="J89" i="68" s="1"/>
  <c r="G88" i="68"/>
  <c r="H88" i="68" s="1"/>
  <c r="J88" i="68" s="1"/>
  <c r="G87" i="68"/>
  <c r="H87" i="68" s="1"/>
  <c r="J87" i="68" s="1"/>
  <c r="G86" i="68"/>
  <c r="H86" i="68" s="1"/>
  <c r="J86" i="68" s="1"/>
  <c r="O70" i="68"/>
  <c r="P70" i="68" s="1"/>
  <c r="G62" i="68"/>
  <c r="K86" i="68" l="1"/>
  <c r="M86" i="68" s="1"/>
  <c r="H69" i="68" s="1"/>
  <c r="J67" i="68" s="1"/>
  <c r="R12" i="69"/>
  <c r="X11" i="69"/>
  <c r="T12" i="69"/>
  <c r="T14" i="69" s="1"/>
  <c r="Z12" i="69"/>
  <c r="X13" i="69"/>
  <c r="V12" i="69"/>
  <c r="Z10" i="69"/>
  <c r="V11" i="69"/>
  <c r="R10" i="69"/>
  <c r="R11" i="69"/>
  <c r="AB11" i="69"/>
  <c r="AB14" i="69" s="1"/>
  <c r="U12" i="69"/>
  <c r="AB12" i="69"/>
  <c r="Q13" i="69"/>
  <c r="AB13" i="69"/>
  <c r="H16" i="69"/>
  <c r="H18" i="69" s="1"/>
  <c r="H23" i="69" s="1"/>
  <c r="H53" i="69" s="1"/>
  <c r="H17" i="69"/>
  <c r="E17" i="69"/>
  <c r="E16" i="69"/>
  <c r="E18" i="69" s="1"/>
  <c r="E23" i="69" s="1"/>
  <c r="E53" i="69" s="1"/>
  <c r="E54" i="69" s="1"/>
  <c r="P17" i="69"/>
  <c r="P16" i="69"/>
  <c r="P18" i="69" s="1"/>
  <c r="P23" i="69" s="1"/>
  <c r="P53" i="69" s="1"/>
  <c r="F17" i="69"/>
  <c r="F16" i="69"/>
  <c r="F18" i="69" s="1"/>
  <c r="F23" i="69" s="1"/>
  <c r="F53" i="69" s="1"/>
  <c r="G10" i="69"/>
  <c r="G14" i="69" s="1"/>
  <c r="W10" i="69"/>
  <c r="K11" i="69"/>
  <c r="AA11" i="69"/>
  <c r="K13" i="69"/>
  <c r="AA13" i="69"/>
  <c r="L17" i="69"/>
  <c r="G38" i="69"/>
  <c r="G35" i="69"/>
  <c r="G37" i="69"/>
  <c r="G34" i="69"/>
  <c r="G30" i="69"/>
  <c r="G36" i="69"/>
  <c r="K38" i="69"/>
  <c r="K35" i="69"/>
  <c r="K39" i="69"/>
  <c r="K37" i="69"/>
  <c r="K34" i="69"/>
  <c r="K30" i="69"/>
  <c r="O38" i="69"/>
  <c r="O35" i="69"/>
  <c r="O29" i="69"/>
  <c r="S38" i="69"/>
  <c r="S35" i="69"/>
  <c r="S36" i="69"/>
  <c r="S29" i="69"/>
  <c r="W38" i="69"/>
  <c r="W35" i="69"/>
  <c r="W39" i="69"/>
  <c r="W37" i="69"/>
  <c r="W34" i="69"/>
  <c r="W30" i="69"/>
  <c r="W28" i="69"/>
  <c r="W36" i="69"/>
  <c r="AA38" i="69"/>
  <c r="AA35" i="69"/>
  <c r="AA39" i="69"/>
  <c r="AA37" i="69"/>
  <c r="AA34" i="69"/>
  <c r="AA30" i="69"/>
  <c r="AA28" i="69"/>
  <c r="S28" i="69"/>
  <c r="O30" i="69"/>
  <c r="O34" i="69"/>
  <c r="S39" i="69"/>
  <c r="S10" i="69"/>
  <c r="G11" i="69"/>
  <c r="W11" i="69"/>
  <c r="W13" i="69"/>
  <c r="K28" i="69"/>
  <c r="W29" i="69"/>
  <c r="S30" i="69"/>
  <c r="S34" i="69"/>
  <c r="O36" i="69"/>
  <c r="Z50" i="69"/>
  <c r="V50" i="69"/>
  <c r="R50" i="69"/>
  <c r="N50" i="69"/>
  <c r="J50" i="69"/>
  <c r="F50" i="69"/>
  <c r="Y50" i="69"/>
  <c r="T50" i="69"/>
  <c r="O50" i="69"/>
  <c r="I50" i="69"/>
  <c r="X50" i="69"/>
  <c r="S50" i="69"/>
  <c r="M50" i="69"/>
  <c r="H50" i="69"/>
  <c r="P50" i="69"/>
  <c r="AA50" i="69"/>
  <c r="O10" i="69"/>
  <c r="U10" i="69"/>
  <c r="S11" i="69"/>
  <c r="M12" i="69"/>
  <c r="M14" i="69" s="1"/>
  <c r="M13" i="69"/>
  <c r="S13" i="69"/>
  <c r="L16" i="69"/>
  <c r="L18" i="69" s="1"/>
  <c r="L23" i="69" s="1"/>
  <c r="L53" i="69" s="1"/>
  <c r="G29" i="69"/>
  <c r="AA29" i="69"/>
  <c r="AA36" i="69"/>
  <c r="O37" i="69"/>
  <c r="G50" i="69"/>
  <c r="Q50" i="69"/>
  <c r="AB50" i="69"/>
  <c r="K10" i="69"/>
  <c r="K14" i="69" s="1"/>
  <c r="Q10" i="69"/>
  <c r="Q14" i="69" s="1"/>
  <c r="V10" i="69"/>
  <c r="AA10" i="69"/>
  <c r="J11" i="69"/>
  <c r="J14" i="69" s="1"/>
  <c r="O11" i="69"/>
  <c r="Z11" i="69"/>
  <c r="I12" i="69"/>
  <c r="I14" i="69" s="1"/>
  <c r="N12" i="69"/>
  <c r="N14" i="69" s="1"/>
  <c r="Y12" i="69"/>
  <c r="I13" i="69"/>
  <c r="O13" i="69"/>
  <c r="Y13" i="69"/>
  <c r="F34" i="69"/>
  <c r="F30" i="69"/>
  <c r="F29" i="69"/>
  <c r="F37" i="69"/>
  <c r="J39" i="69"/>
  <c r="J34" i="69"/>
  <c r="J30" i="69"/>
  <c r="J29" i="69"/>
  <c r="J35" i="69"/>
  <c r="J38" i="69"/>
  <c r="N39" i="69"/>
  <c r="N34" i="69"/>
  <c r="N30" i="69"/>
  <c r="N29" i="69"/>
  <c r="N36" i="69"/>
  <c r="N35" i="69"/>
  <c r="R39" i="69"/>
  <c r="R34" i="69"/>
  <c r="R30" i="69"/>
  <c r="R29" i="69"/>
  <c r="R28" i="69"/>
  <c r="R37" i="69"/>
  <c r="R36" i="69"/>
  <c r="V39" i="69"/>
  <c r="V34" i="69"/>
  <c r="V30" i="69"/>
  <c r="V29" i="69"/>
  <c r="V28" i="69"/>
  <c r="V38" i="69"/>
  <c r="V37" i="69"/>
  <c r="Z39" i="69"/>
  <c r="Z34" i="69"/>
  <c r="Z30" i="69"/>
  <c r="Z29" i="69"/>
  <c r="Z28" i="69"/>
  <c r="Z35" i="69"/>
  <c r="Z38" i="69"/>
  <c r="G28" i="69"/>
  <c r="O28" i="69"/>
  <c r="K29" i="69"/>
  <c r="K36" i="69"/>
  <c r="S37" i="69"/>
  <c r="R38" i="69"/>
  <c r="O39" i="69"/>
  <c r="K50" i="69"/>
  <c r="U50" i="69"/>
  <c r="H28" i="69"/>
  <c r="L28" i="69"/>
  <c r="P28" i="69"/>
  <c r="H29" i="69"/>
  <c r="X29" i="69"/>
  <c r="P30" i="69"/>
  <c r="P34" i="69"/>
  <c r="T35" i="69"/>
  <c r="P37" i="69"/>
  <c r="P38" i="69"/>
  <c r="P39" i="69"/>
  <c r="Z51" i="69"/>
  <c r="V51" i="69"/>
  <c r="R51" i="69"/>
  <c r="N51" i="69"/>
  <c r="J51" i="69"/>
  <c r="F51" i="69"/>
  <c r="K51" i="69"/>
  <c r="P51" i="69"/>
  <c r="U51" i="69"/>
  <c r="AA51" i="69"/>
  <c r="Z31" i="69"/>
  <c r="V31" i="69"/>
  <c r="R31" i="69"/>
  <c r="N31" i="69"/>
  <c r="J31" i="69"/>
  <c r="F31" i="69"/>
  <c r="E28" i="69"/>
  <c r="I28" i="69"/>
  <c r="M28" i="69"/>
  <c r="Q28" i="69"/>
  <c r="AB28" i="69"/>
  <c r="I29" i="69"/>
  <c r="T29" i="69"/>
  <c r="Y29" i="69"/>
  <c r="L30" i="69"/>
  <c r="Q30" i="69"/>
  <c r="AB30" i="69"/>
  <c r="I31" i="69"/>
  <c r="O31" i="69"/>
  <c r="T31" i="69"/>
  <c r="Y31" i="69"/>
  <c r="L34" i="69"/>
  <c r="Q34" i="69"/>
  <c r="AB34" i="69"/>
  <c r="P35" i="69"/>
  <c r="U35" i="69"/>
  <c r="I36" i="69"/>
  <c r="Y36" i="69"/>
  <c r="L37" i="69"/>
  <c r="AB37" i="69"/>
  <c r="L38" i="69"/>
  <c r="Q38" i="69"/>
  <c r="AB38" i="69"/>
  <c r="L39" i="69"/>
  <c r="Q39" i="69"/>
  <c r="AB39" i="69"/>
  <c r="G51" i="69"/>
  <c r="L51" i="69"/>
  <c r="Q51" i="69"/>
  <c r="W51" i="69"/>
  <c r="AB51" i="69"/>
  <c r="G64" i="68"/>
  <c r="G63" i="68"/>
  <c r="O190" i="68"/>
  <c r="D141" i="68"/>
  <c r="F127" i="68"/>
  <c r="G126" i="68"/>
  <c r="G138" i="68" s="1"/>
  <c r="Q77" i="68"/>
  <c r="N82" i="68" s="1"/>
  <c r="E127" i="68"/>
  <c r="F126" i="68"/>
  <c r="F138" i="68" s="1"/>
  <c r="I126" i="68"/>
  <c r="I138" i="68" s="1"/>
  <c r="E126" i="68"/>
  <c r="O193" i="68"/>
  <c r="P193" i="68" s="1"/>
  <c r="P196" i="68" s="1"/>
  <c r="C177" i="68" s="1"/>
  <c r="C170" i="68" s="1"/>
  <c r="G51" i="66"/>
  <c r="H51" i="66"/>
  <c r="I51" i="66"/>
  <c r="J51" i="66"/>
  <c r="K51" i="66"/>
  <c r="L51" i="66"/>
  <c r="M51" i="66"/>
  <c r="N51" i="66"/>
  <c r="O51" i="66"/>
  <c r="P51" i="66"/>
  <c r="Q51" i="66"/>
  <c r="R51" i="66"/>
  <c r="S51" i="66"/>
  <c r="T51" i="66"/>
  <c r="U51" i="66"/>
  <c r="V51" i="66"/>
  <c r="W51" i="66"/>
  <c r="X51" i="66"/>
  <c r="Y51" i="66"/>
  <c r="Z51" i="66"/>
  <c r="AA51" i="66"/>
  <c r="AB51" i="66"/>
  <c r="G50" i="66"/>
  <c r="H50" i="66"/>
  <c r="I50" i="66"/>
  <c r="J50" i="66"/>
  <c r="K50" i="66"/>
  <c r="L50" i="66"/>
  <c r="M50" i="66"/>
  <c r="N50" i="66"/>
  <c r="O50" i="66"/>
  <c r="P50" i="66"/>
  <c r="Q50" i="66"/>
  <c r="R50" i="66"/>
  <c r="S50" i="66"/>
  <c r="T50" i="66"/>
  <c r="U50" i="66"/>
  <c r="V50" i="66"/>
  <c r="W50" i="66"/>
  <c r="X50" i="66"/>
  <c r="Y50" i="66"/>
  <c r="Z50" i="66"/>
  <c r="AA50" i="66"/>
  <c r="AB50" i="66"/>
  <c r="F50" i="66"/>
  <c r="C50" i="66"/>
  <c r="C51" i="66"/>
  <c r="F51" i="66" s="1"/>
  <c r="J95" i="66"/>
  <c r="G95" i="66"/>
  <c r="H95" i="66" s="1"/>
  <c r="J94" i="66"/>
  <c r="G94" i="66"/>
  <c r="H94" i="66" s="1"/>
  <c r="J93" i="66"/>
  <c r="G93" i="66"/>
  <c r="H93" i="66" s="1"/>
  <c r="J92" i="66"/>
  <c r="G92" i="66"/>
  <c r="H92" i="66" s="1"/>
  <c r="G91" i="66"/>
  <c r="H91" i="66" s="1"/>
  <c r="J91" i="66" s="1"/>
  <c r="F86" i="66"/>
  <c r="F85" i="66"/>
  <c r="F84" i="66"/>
  <c r="H75" i="66"/>
  <c r="H74" i="66"/>
  <c r="H73" i="66"/>
  <c r="D73" i="66"/>
  <c r="H72" i="66"/>
  <c r="AB49" i="66"/>
  <c r="AA49" i="66"/>
  <c r="Z49" i="66"/>
  <c r="Y49" i="66"/>
  <c r="X49" i="66"/>
  <c r="W49" i="66"/>
  <c r="V49" i="66"/>
  <c r="U49" i="66"/>
  <c r="T49" i="66"/>
  <c r="S49" i="66"/>
  <c r="R49" i="66"/>
  <c r="Q49" i="66"/>
  <c r="P49" i="66"/>
  <c r="O49" i="66"/>
  <c r="N49" i="66"/>
  <c r="M49" i="66"/>
  <c r="L49" i="66"/>
  <c r="K49" i="66"/>
  <c r="J49" i="66"/>
  <c r="I49" i="66"/>
  <c r="H49" i="66"/>
  <c r="G49" i="66"/>
  <c r="F49" i="66"/>
  <c r="E49" i="66"/>
  <c r="AB47" i="66"/>
  <c r="AA47" i="66"/>
  <c r="Z47" i="66"/>
  <c r="Y47" i="66"/>
  <c r="X47" i="66"/>
  <c r="W47" i="66"/>
  <c r="V47" i="66"/>
  <c r="U47" i="66"/>
  <c r="T47" i="66"/>
  <c r="S47" i="66"/>
  <c r="R47" i="66"/>
  <c r="Q47" i="66"/>
  <c r="P47" i="66"/>
  <c r="O47" i="66"/>
  <c r="N47" i="66"/>
  <c r="M47" i="66"/>
  <c r="L47" i="66"/>
  <c r="K47" i="66"/>
  <c r="J47" i="66"/>
  <c r="I47" i="66"/>
  <c r="H47" i="66"/>
  <c r="G47" i="66"/>
  <c r="F47" i="66"/>
  <c r="E47" i="66"/>
  <c r="AB46" i="66"/>
  <c r="AA46" i="66"/>
  <c r="Z46" i="66"/>
  <c r="Y46" i="66"/>
  <c r="X46" i="66"/>
  <c r="W46" i="66"/>
  <c r="V46" i="66"/>
  <c r="U46" i="66"/>
  <c r="T46" i="66"/>
  <c r="S46" i="66"/>
  <c r="R46" i="66"/>
  <c r="Q46" i="66"/>
  <c r="P46" i="66"/>
  <c r="O46" i="66"/>
  <c r="N46" i="66"/>
  <c r="M46" i="66"/>
  <c r="L46" i="66"/>
  <c r="K46" i="66"/>
  <c r="J46" i="66"/>
  <c r="I46" i="66"/>
  <c r="H46" i="66"/>
  <c r="G46" i="66"/>
  <c r="F46" i="66"/>
  <c r="E46" i="66"/>
  <c r="AB45" i="66"/>
  <c r="AA45" i="66"/>
  <c r="Z45" i="66"/>
  <c r="Y45" i="66"/>
  <c r="X45" i="66"/>
  <c r="W45" i="66"/>
  <c r="V45" i="66"/>
  <c r="U45" i="66"/>
  <c r="T45" i="66"/>
  <c r="S45" i="66"/>
  <c r="R45" i="66"/>
  <c r="Q45" i="66"/>
  <c r="P45" i="66"/>
  <c r="O45" i="66"/>
  <c r="N45" i="66"/>
  <c r="M45" i="66"/>
  <c r="L45" i="66"/>
  <c r="K45" i="66"/>
  <c r="J45" i="66"/>
  <c r="I45" i="66"/>
  <c r="H45" i="66"/>
  <c r="G45" i="66"/>
  <c r="F45" i="66"/>
  <c r="E45" i="66"/>
  <c r="AB44" i="66"/>
  <c r="AA44" i="66"/>
  <c r="Z44" i="66"/>
  <c r="Y44" i="66"/>
  <c r="X44" i="66"/>
  <c r="W44" i="66"/>
  <c r="V44" i="66"/>
  <c r="U44" i="66"/>
  <c r="T44" i="66"/>
  <c r="S44" i="66"/>
  <c r="R44" i="66"/>
  <c r="Q44" i="66"/>
  <c r="P44" i="66"/>
  <c r="O44" i="66"/>
  <c r="N44" i="66"/>
  <c r="M44" i="66"/>
  <c r="L44" i="66"/>
  <c r="K44" i="66"/>
  <c r="J44" i="66"/>
  <c r="I44" i="66"/>
  <c r="H44" i="66"/>
  <c r="G44" i="66"/>
  <c r="F44" i="66"/>
  <c r="E44" i="66"/>
  <c r="AB43" i="66"/>
  <c r="AA43" i="66"/>
  <c r="Z43" i="66"/>
  <c r="Y43" i="66"/>
  <c r="X43" i="66"/>
  <c r="W43" i="66"/>
  <c r="V43" i="66"/>
  <c r="U43" i="66"/>
  <c r="T43" i="66"/>
  <c r="S43" i="66"/>
  <c r="R43" i="66"/>
  <c r="Q43" i="66"/>
  <c r="P43" i="66"/>
  <c r="O43" i="66"/>
  <c r="N43" i="66"/>
  <c r="M43" i="66"/>
  <c r="L43" i="66"/>
  <c r="K43" i="66"/>
  <c r="J43" i="66"/>
  <c r="I43" i="66"/>
  <c r="H43" i="66"/>
  <c r="G43" i="66"/>
  <c r="F43" i="66"/>
  <c r="E43" i="66"/>
  <c r="AB25" i="66"/>
  <c r="AB29" i="66" s="1"/>
  <c r="AA25" i="66"/>
  <c r="AA36" i="66" s="1"/>
  <c r="Z25" i="66"/>
  <c r="Z39" i="66" s="1"/>
  <c r="Y25" i="66"/>
  <c r="Y37" i="66" s="1"/>
  <c r="X25" i="66"/>
  <c r="X38" i="66" s="1"/>
  <c r="W25" i="66"/>
  <c r="V25" i="66"/>
  <c r="V39" i="66" s="1"/>
  <c r="U25" i="66"/>
  <c r="U37" i="66" s="1"/>
  <c r="T25" i="66"/>
  <c r="T34" i="66" s="1"/>
  <c r="S25" i="66"/>
  <c r="S30" i="66" s="1"/>
  <c r="R25" i="66"/>
  <c r="R39" i="66" s="1"/>
  <c r="Q25" i="66"/>
  <c r="Q37" i="66" s="1"/>
  <c r="P25" i="66"/>
  <c r="O25" i="66"/>
  <c r="O30" i="66" s="1"/>
  <c r="N25" i="66"/>
  <c r="N39" i="66" s="1"/>
  <c r="M25" i="66"/>
  <c r="M37" i="66" s="1"/>
  <c r="L25" i="66"/>
  <c r="K25" i="66"/>
  <c r="K29" i="66" s="1"/>
  <c r="J25" i="66"/>
  <c r="J39" i="66" s="1"/>
  <c r="I25" i="66"/>
  <c r="I37" i="66" s="1"/>
  <c r="H25" i="66"/>
  <c r="H35" i="66" s="1"/>
  <c r="G25" i="66"/>
  <c r="G29" i="66" s="1"/>
  <c r="F25" i="66"/>
  <c r="F34" i="66" s="1"/>
  <c r="E25" i="66"/>
  <c r="AA31" i="66" s="1"/>
  <c r="C14" i="66"/>
  <c r="AB7" i="66"/>
  <c r="AB11" i="66" s="1"/>
  <c r="AA7" i="66"/>
  <c r="AA12" i="66" s="1"/>
  <c r="Z7" i="66"/>
  <c r="Z11" i="66" s="1"/>
  <c r="Y7" i="66"/>
  <c r="Y13" i="66" s="1"/>
  <c r="X7" i="66"/>
  <c r="X13" i="66" s="1"/>
  <c r="W7" i="66"/>
  <c r="W12" i="66" s="1"/>
  <c r="V7" i="66"/>
  <c r="V11" i="66" s="1"/>
  <c r="U7" i="66"/>
  <c r="U13" i="66" s="1"/>
  <c r="T7" i="66"/>
  <c r="T11" i="66" s="1"/>
  <c r="S7" i="66"/>
  <c r="S12" i="66" s="1"/>
  <c r="R7" i="66"/>
  <c r="R11" i="66" s="1"/>
  <c r="Q7" i="66"/>
  <c r="Q13" i="66" s="1"/>
  <c r="P7" i="66"/>
  <c r="P13" i="66" s="1"/>
  <c r="O7" i="66"/>
  <c r="O12" i="66" s="1"/>
  <c r="N7" i="66"/>
  <c r="N13" i="66" s="1"/>
  <c r="M7" i="66"/>
  <c r="M13" i="66" s="1"/>
  <c r="L7" i="66"/>
  <c r="L11" i="66" s="1"/>
  <c r="K7" i="66"/>
  <c r="K10" i="66" s="1"/>
  <c r="J7" i="66"/>
  <c r="J13" i="66" s="1"/>
  <c r="I7" i="66"/>
  <c r="I13" i="66" s="1"/>
  <c r="H7" i="66"/>
  <c r="H13" i="66" s="1"/>
  <c r="G7" i="66"/>
  <c r="G10" i="66" s="1"/>
  <c r="F7" i="66"/>
  <c r="F10" i="66" s="1"/>
  <c r="E7" i="66"/>
  <c r="E10" i="66" s="1"/>
  <c r="N191" i="60"/>
  <c r="N188" i="60"/>
  <c r="C176" i="60"/>
  <c r="D197" i="60"/>
  <c r="J165" i="60"/>
  <c r="H173" i="60"/>
  <c r="I136" i="65"/>
  <c r="I137" i="65"/>
  <c r="I138" i="65"/>
  <c r="J138" i="65" s="1"/>
  <c r="I134" i="65"/>
  <c r="G89" i="60"/>
  <c r="H89" i="60" s="1"/>
  <c r="J89" i="60" s="1"/>
  <c r="G90" i="60"/>
  <c r="H90" i="60" s="1"/>
  <c r="J90" i="60" s="1"/>
  <c r="G91" i="60"/>
  <c r="H91" i="60" s="1"/>
  <c r="G87" i="60"/>
  <c r="H87" i="60" s="1"/>
  <c r="J87" i="60" s="1"/>
  <c r="J91" i="60"/>
  <c r="G88" i="60"/>
  <c r="H88" i="60" s="1"/>
  <c r="J88" i="60" s="1"/>
  <c r="G62" i="60"/>
  <c r="G63" i="60" s="1"/>
  <c r="E102" i="60" s="1"/>
  <c r="F113" i="60"/>
  <c r="G113" i="60"/>
  <c r="H113" i="60"/>
  <c r="I113" i="60"/>
  <c r="E113" i="60"/>
  <c r="F106" i="60"/>
  <c r="G106" i="60"/>
  <c r="H106" i="60"/>
  <c r="I106" i="60"/>
  <c r="E106" i="60"/>
  <c r="D146" i="60"/>
  <c r="D147" i="60" s="1"/>
  <c r="D145" i="60"/>
  <c r="F118" i="60"/>
  <c r="G118" i="60"/>
  <c r="H118" i="60"/>
  <c r="I118" i="60"/>
  <c r="F119" i="60"/>
  <c r="G119" i="60"/>
  <c r="H119" i="60"/>
  <c r="I119" i="60"/>
  <c r="E118" i="60"/>
  <c r="E119" i="60"/>
  <c r="D144" i="60"/>
  <c r="D143" i="60"/>
  <c r="K127" i="65"/>
  <c r="L173" i="65"/>
  <c r="O172" i="65"/>
  <c r="P172" i="65" s="1"/>
  <c r="O171" i="65"/>
  <c r="P171" i="65" s="1"/>
  <c r="O170" i="65"/>
  <c r="P170" i="65" s="1"/>
  <c r="P173" i="65" s="1"/>
  <c r="N163" i="65"/>
  <c r="O164" i="65" s="1"/>
  <c r="N161" i="65"/>
  <c r="O161" i="65" s="1"/>
  <c r="N160" i="65"/>
  <c r="N166" i="65" s="1"/>
  <c r="O167" i="65" s="1"/>
  <c r="L138" i="65"/>
  <c r="L137" i="65"/>
  <c r="J137" i="65"/>
  <c r="L136" i="65"/>
  <c r="J136" i="65"/>
  <c r="L135" i="65"/>
  <c r="I135" i="65"/>
  <c r="J135" i="65" s="1"/>
  <c r="J134" i="65"/>
  <c r="L134" i="65" s="1"/>
  <c r="M134" i="65" s="1"/>
  <c r="O134" i="65" s="1"/>
  <c r="I124" i="65"/>
  <c r="I110" i="65"/>
  <c r="I109" i="65"/>
  <c r="G107" i="65"/>
  <c r="F107" i="65"/>
  <c r="E107" i="65"/>
  <c r="I106" i="65"/>
  <c r="H106" i="65"/>
  <c r="G105" i="65"/>
  <c r="G111" i="65" s="1"/>
  <c r="K114" i="65" s="1"/>
  <c r="F105" i="65"/>
  <c r="E105" i="65"/>
  <c r="I104" i="65"/>
  <c r="H104" i="65"/>
  <c r="G104" i="65"/>
  <c r="F104" i="65"/>
  <c r="E104" i="65"/>
  <c r="I96" i="65"/>
  <c r="H96" i="65"/>
  <c r="G96" i="65"/>
  <c r="F96" i="65"/>
  <c r="E96" i="65"/>
  <c r="I94" i="65"/>
  <c r="H94" i="65"/>
  <c r="G94" i="65"/>
  <c r="F94" i="65"/>
  <c r="E94" i="65"/>
  <c r="K93" i="65"/>
  <c r="G86" i="65"/>
  <c r="I85" i="65"/>
  <c r="O59" i="65"/>
  <c r="P59" i="65" s="1"/>
  <c r="K59" i="65"/>
  <c r="I79" i="65" s="1"/>
  <c r="K58" i="65"/>
  <c r="H79" i="65" s="1"/>
  <c r="K57" i="65"/>
  <c r="G79" i="65" s="1"/>
  <c r="K56" i="65"/>
  <c r="F79" i="65" s="1"/>
  <c r="K55" i="65"/>
  <c r="E79" i="65" s="1"/>
  <c r="M14" i="65"/>
  <c r="M16" i="65" s="1"/>
  <c r="I101" i="65" s="1"/>
  <c r="L173" i="64"/>
  <c r="O172" i="64"/>
  <c r="P172" i="64" s="1"/>
  <c r="O171" i="64"/>
  <c r="P171" i="64" s="1"/>
  <c r="O170" i="64"/>
  <c r="P170" i="64" s="1"/>
  <c r="P173" i="64" s="1"/>
  <c r="N163" i="64"/>
  <c r="O164" i="64" s="1"/>
  <c r="N161" i="64"/>
  <c r="O161" i="64" s="1"/>
  <c r="N160" i="64"/>
  <c r="N166" i="64" s="1"/>
  <c r="O167" i="64" s="1"/>
  <c r="L138" i="64"/>
  <c r="I138" i="64"/>
  <c r="J138" i="64" s="1"/>
  <c r="L137" i="64"/>
  <c r="J137" i="64"/>
  <c r="I137" i="64"/>
  <c r="L136" i="64"/>
  <c r="I136" i="64"/>
  <c r="J136" i="64" s="1"/>
  <c r="L135" i="64"/>
  <c r="I135" i="64"/>
  <c r="J135" i="64" s="1"/>
  <c r="J134" i="64"/>
  <c r="L134" i="64" s="1"/>
  <c r="M134" i="64" s="1"/>
  <c r="O134" i="64" s="1"/>
  <c r="I124" i="64"/>
  <c r="I110" i="64"/>
  <c r="I109" i="64"/>
  <c r="G107" i="64"/>
  <c r="F107" i="64"/>
  <c r="E107" i="64"/>
  <c r="I106" i="64"/>
  <c r="H106" i="64"/>
  <c r="G105" i="64"/>
  <c r="G111" i="64" s="1"/>
  <c r="F105" i="64"/>
  <c r="E105" i="64"/>
  <c r="I104" i="64"/>
  <c r="H104" i="64"/>
  <c r="G104" i="64"/>
  <c r="F104" i="64"/>
  <c r="E104" i="64"/>
  <c r="I101" i="64"/>
  <c r="I96" i="64"/>
  <c r="H96" i="64"/>
  <c r="G96" i="64"/>
  <c r="F96" i="64"/>
  <c r="E96" i="64"/>
  <c r="I94" i="64"/>
  <c r="H94" i="64"/>
  <c r="G94" i="64"/>
  <c r="F94" i="64"/>
  <c r="E94" i="64"/>
  <c r="K93" i="64"/>
  <c r="G86" i="64"/>
  <c r="I85" i="64"/>
  <c r="I79" i="64"/>
  <c r="E79" i="64"/>
  <c r="O59" i="64"/>
  <c r="P59" i="64" s="1"/>
  <c r="K59" i="64"/>
  <c r="K58" i="64"/>
  <c r="H79" i="64" s="1"/>
  <c r="H95" i="64" s="1"/>
  <c r="K57" i="64"/>
  <c r="G79" i="64" s="1"/>
  <c r="G82" i="64" s="1"/>
  <c r="K56" i="64"/>
  <c r="F79" i="64" s="1"/>
  <c r="K55" i="64"/>
  <c r="M14" i="64"/>
  <c r="M16" i="64" s="1"/>
  <c r="L138" i="57"/>
  <c r="I138" i="57"/>
  <c r="J138" i="57" s="1"/>
  <c r="L137" i="57"/>
  <c r="I137" i="57"/>
  <c r="J137" i="57" s="1"/>
  <c r="L136" i="57"/>
  <c r="J136" i="57"/>
  <c r="I136" i="57"/>
  <c r="L135" i="57"/>
  <c r="I135" i="57"/>
  <c r="J135" i="57" s="1"/>
  <c r="J134" i="57"/>
  <c r="L134" i="57" s="1"/>
  <c r="I134" i="51"/>
  <c r="L163" i="63"/>
  <c r="O162" i="63"/>
  <c r="P162" i="63" s="1"/>
  <c r="P161" i="63"/>
  <c r="O161" i="63"/>
  <c r="O160" i="63"/>
  <c r="P160" i="63" s="1"/>
  <c r="G157" i="63"/>
  <c r="C157" i="63"/>
  <c r="N151" i="63"/>
  <c r="O151" i="63" s="1"/>
  <c r="N150" i="63"/>
  <c r="N156" i="63" s="1"/>
  <c r="O157" i="63" s="1"/>
  <c r="C148" i="63"/>
  <c r="C139" i="63"/>
  <c r="I134" i="63"/>
  <c r="I114" i="63"/>
  <c r="I94" i="63"/>
  <c r="H94" i="63"/>
  <c r="G94" i="63"/>
  <c r="F94" i="63"/>
  <c r="E94" i="63"/>
  <c r="P77" i="63"/>
  <c r="P76" i="63"/>
  <c r="P75" i="63"/>
  <c r="Q75" i="63" s="1"/>
  <c r="Q76" i="63" s="1"/>
  <c r="G61" i="63"/>
  <c r="G63" i="63" s="1"/>
  <c r="Y59" i="63"/>
  <c r="G110" i="63" s="1"/>
  <c r="O59" i="63"/>
  <c r="P59" i="63" s="1"/>
  <c r="Y58" i="63"/>
  <c r="F110" i="63" s="1"/>
  <c r="Y57" i="63"/>
  <c r="E110" i="63" s="1"/>
  <c r="V57" i="63"/>
  <c r="G55" i="63"/>
  <c r="G56" i="63" s="1"/>
  <c r="I84" i="63" s="1"/>
  <c r="O50" i="63"/>
  <c r="X48" i="63"/>
  <c r="V48" i="63"/>
  <c r="O47" i="63"/>
  <c r="O44" i="63"/>
  <c r="N32" i="63"/>
  <c r="R30" i="63" s="1"/>
  <c r="R28" i="63"/>
  <c r="Q27" i="63"/>
  <c r="R27" i="63" s="1"/>
  <c r="Q26" i="63"/>
  <c r="R26" i="63" s="1"/>
  <c r="N25" i="63"/>
  <c r="Q25" i="63" s="1"/>
  <c r="N24" i="63"/>
  <c r="N23" i="63"/>
  <c r="Q22" i="63"/>
  <c r="N22" i="63"/>
  <c r="M14" i="63"/>
  <c r="M15" i="63" s="1"/>
  <c r="D112" i="63" s="1"/>
  <c r="F95" i="52"/>
  <c r="F98" i="52" s="1"/>
  <c r="H95" i="52"/>
  <c r="I95" i="52"/>
  <c r="E98" i="52"/>
  <c r="V58" i="63" l="1"/>
  <c r="Q23" i="63"/>
  <c r="R23" i="63" s="1"/>
  <c r="P163" i="63"/>
  <c r="F157" i="63" s="1"/>
  <c r="C160" i="63" s="1"/>
  <c r="C137" i="63" s="1"/>
  <c r="Q29" i="63"/>
  <c r="M53" i="63"/>
  <c r="N53" i="63" s="1"/>
  <c r="N153" i="63"/>
  <c r="O154" i="63" s="1"/>
  <c r="E128" i="60"/>
  <c r="D142" i="60"/>
  <c r="G64" i="60"/>
  <c r="Q78" i="60"/>
  <c r="N78" i="68"/>
  <c r="T17" i="69"/>
  <c r="T16" i="69"/>
  <c r="Y14" i="69"/>
  <c r="Y17" i="69" s="1"/>
  <c r="R14" i="69"/>
  <c r="R17" i="69" s="1"/>
  <c r="X14" i="69"/>
  <c r="AA14" i="69"/>
  <c r="AB17" i="69"/>
  <c r="AB16" i="69"/>
  <c r="AB18" i="69" s="1"/>
  <c r="AB23" i="69" s="1"/>
  <c r="AB53" i="69" s="1"/>
  <c r="X17" i="69"/>
  <c r="X16" i="69"/>
  <c r="X18" i="69" s="1"/>
  <c r="X23" i="69" s="1"/>
  <c r="X53" i="69" s="1"/>
  <c r="U14" i="69"/>
  <c r="R16" i="69"/>
  <c r="R18" i="69" s="1"/>
  <c r="R23" i="69" s="1"/>
  <c r="R53" i="69" s="1"/>
  <c r="T18" i="69"/>
  <c r="T23" i="69" s="1"/>
  <c r="Z14" i="69"/>
  <c r="Z16" i="69" s="1"/>
  <c r="V14" i="69"/>
  <c r="V17" i="69" s="1"/>
  <c r="F54" i="69"/>
  <c r="N16" i="69"/>
  <c r="N18" i="69" s="1"/>
  <c r="N23" i="69" s="1"/>
  <c r="N53" i="69" s="1"/>
  <c r="N17" i="69"/>
  <c r="J17" i="69"/>
  <c r="J16" i="69"/>
  <c r="J18" i="69" s="1"/>
  <c r="J23" i="69" s="1"/>
  <c r="J53" i="69" s="1"/>
  <c r="M17" i="69"/>
  <c r="M18" i="69" s="1"/>
  <c r="M23" i="69" s="1"/>
  <c r="M53" i="69" s="1"/>
  <c r="M16" i="69"/>
  <c r="I17" i="69"/>
  <c r="I16" i="69"/>
  <c r="I18" i="69" s="1"/>
  <c r="I23" i="69" s="1"/>
  <c r="I53" i="69" s="1"/>
  <c r="T53" i="69"/>
  <c r="AA17" i="69"/>
  <c r="AA16" i="69"/>
  <c r="S14" i="69"/>
  <c r="G16" i="69"/>
  <c r="G18" i="69" s="1"/>
  <c r="G23" i="69" s="1"/>
  <c r="G53" i="69" s="1"/>
  <c r="G17" i="69"/>
  <c r="U17" i="69"/>
  <c r="U16" i="69"/>
  <c r="K17" i="69"/>
  <c r="K18" i="69"/>
  <c r="K23" i="69" s="1"/>
  <c r="K53" i="69" s="1"/>
  <c r="K16" i="69"/>
  <c r="Q17" i="69"/>
  <c r="Q16" i="69"/>
  <c r="O14" i="69"/>
  <c r="W14" i="69"/>
  <c r="F101" i="68"/>
  <c r="K64" i="68"/>
  <c r="J64" i="68"/>
  <c r="E101" i="68"/>
  <c r="E138" i="68"/>
  <c r="N81" i="68"/>
  <c r="N79" i="68"/>
  <c r="O78" i="68"/>
  <c r="E111" i="68" s="1"/>
  <c r="N80" i="68"/>
  <c r="G65" i="68"/>
  <c r="F87" i="66"/>
  <c r="U11" i="66"/>
  <c r="F36" i="66"/>
  <c r="S37" i="66"/>
  <c r="V10" i="66"/>
  <c r="S39" i="66"/>
  <c r="R10" i="66"/>
  <c r="Z10" i="66"/>
  <c r="K91" i="66"/>
  <c r="M91" i="66" s="1"/>
  <c r="X35" i="66"/>
  <c r="H39" i="66"/>
  <c r="AA10" i="66"/>
  <c r="W10" i="66"/>
  <c r="S10" i="66"/>
  <c r="O10" i="66"/>
  <c r="AA11" i="66"/>
  <c r="T28" i="66"/>
  <c r="X34" i="66"/>
  <c r="T37" i="66"/>
  <c r="N10" i="66"/>
  <c r="J10" i="66"/>
  <c r="J11" i="66"/>
  <c r="S13" i="66"/>
  <c r="J35" i="66"/>
  <c r="R36" i="66"/>
  <c r="H38" i="66"/>
  <c r="T39" i="66"/>
  <c r="Y10" i="66"/>
  <c r="U10" i="66"/>
  <c r="Q10" i="66"/>
  <c r="M10" i="66"/>
  <c r="I10" i="66"/>
  <c r="Q11" i="66"/>
  <c r="Y11" i="66"/>
  <c r="AA13" i="66"/>
  <c r="AA14" i="66" s="1"/>
  <c r="H30" i="66"/>
  <c r="R35" i="66"/>
  <c r="F37" i="66"/>
  <c r="N38" i="66"/>
  <c r="AB10" i="66"/>
  <c r="X10" i="66"/>
  <c r="T10" i="66"/>
  <c r="P10" i="66"/>
  <c r="L10" i="66"/>
  <c r="H10" i="66"/>
  <c r="I28" i="66"/>
  <c r="M30" i="66"/>
  <c r="AB31" i="66"/>
  <c r="Y38" i="66"/>
  <c r="K31" i="66"/>
  <c r="Y28" i="66"/>
  <c r="U29" i="66"/>
  <c r="G31" i="66"/>
  <c r="Q31" i="66"/>
  <c r="M39" i="66"/>
  <c r="M28" i="66"/>
  <c r="E29" i="66"/>
  <c r="U31" i="66"/>
  <c r="I34" i="66"/>
  <c r="Y34" i="66"/>
  <c r="M35" i="66"/>
  <c r="V35" i="66"/>
  <c r="J36" i="66"/>
  <c r="U36" i="66"/>
  <c r="J37" i="66"/>
  <c r="I38" i="66"/>
  <c r="R38" i="66"/>
  <c r="Z38" i="66"/>
  <c r="Y30" i="66"/>
  <c r="L31" i="66"/>
  <c r="W31" i="66"/>
  <c r="M34" i="66"/>
  <c r="F35" i="66"/>
  <c r="N35" i="66"/>
  <c r="N36" i="66"/>
  <c r="V36" i="66"/>
  <c r="N37" i="66"/>
  <c r="V37" i="66"/>
  <c r="J38" i="66"/>
  <c r="V38" i="66"/>
  <c r="X28" i="66"/>
  <c r="Q29" i="66"/>
  <c r="I30" i="66"/>
  <c r="E31" i="66"/>
  <c r="P31" i="66"/>
  <c r="Q35" i="66"/>
  <c r="Z35" i="66"/>
  <c r="Q36" i="66"/>
  <c r="Z36" i="66"/>
  <c r="R37" i="66"/>
  <c r="Z37" i="66"/>
  <c r="M38" i="66"/>
  <c r="I39" i="66"/>
  <c r="Y39" i="66"/>
  <c r="E14" i="66"/>
  <c r="E17" i="66" s="1"/>
  <c r="K13" i="66"/>
  <c r="M11" i="66"/>
  <c r="F11" i="66"/>
  <c r="F14" i="66" s="1"/>
  <c r="F17" i="66" s="1"/>
  <c r="N11" i="66"/>
  <c r="G12" i="66"/>
  <c r="I11" i="66"/>
  <c r="K12" i="66"/>
  <c r="P12" i="66"/>
  <c r="L12" i="66"/>
  <c r="Y12" i="66"/>
  <c r="T13" i="66"/>
  <c r="G38" i="66"/>
  <c r="G35" i="66"/>
  <c r="G37" i="66"/>
  <c r="G34" i="66"/>
  <c r="G30" i="66"/>
  <c r="G28" i="66"/>
  <c r="G36" i="66"/>
  <c r="O38" i="66"/>
  <c r="O35" i="66"/>
  <c r="O29" i="66"/>
  <c r="W38" i="66"/>
  <c r="W35" i="66"/>
  <c r="W39" i="66"/>
  <c r="W37" i="66"/>
  <c r="W34" i="66"/>
  <c r="W30" i="66"/>
  <c r="W28" i="66"/>
  <c r="W36" i="66"/>
  <c r="R13" i="66"/>
  <c r="R12" i="66"/>
  <c r="V13" i="66"/>
  <c r="V12" i="66"/>
  <c r="Z13" i="66"/>
  <c r="Z12" i="66"/>
  <c r="G11" i="66"/>
  <c r="G14" i="66" s="1"/>
  <c r="K11" i="66"/>
  <c r="O11" i="66"/>
  <c r="S11" i="66"/>
  <c r="W11" i="66"/>
  <c r="I12" i="66"/>
  <c r="M12" i="66"/>
  <c r="T12" i="66"/>
  <c r="AB12" i="66"/>
  <c r="O13" i="66"/>
  <c r="W13" i="66"/>
  <c r="H36" i="66"/>
  <c r="H29" i="66"/>
  <c r="L36" i="66"/>
  <c r="L39" i="66"/>
  <c r="L38" i="66"/>
  <c r="L37" i="66"/>
  <c r="L34" i="66"/>
  <c r="L30" i="66"/>
  <c r="L28" i="66"/>
  <c r="P36" i="66"/>
  <c r="P35" i="66"/>
  <c r="P39" i="66"/>
  <c r="P38" i="66"/>
  <c r="P37" i="66"/>
  <c r="P34" i="66"/>
  <c r="P30" i="66"/>
  <c r="P28" i="66"/>
  <c r="T36" i="66"/>
  <c r="T29" i="66"/>
  <c r="T35" i="66"/>
  <c r="X36" i="66"/>
  <c r="X29" i="66"/>
  <c r="AB36" i="66"/>
  <c r="AB39" i="66"/>
  <c r="AB38" i="66"/>
  <c r="AB37" i="66"/>
  <c r="AB34" i="66"/>
  <c r="AB30" i="66"/>
  <c r="AB28" i="66"/>
  <c r="O28" i="66"/>
  <c r="L29" i="66"/>
  <c r="W29" i="66"/>
  <c r="T30" i="66"/>
  <c r="O34" i="66"/>
  <c r="L35" i="66"/>
  <c r="AB35" i="66"/>
  <c r="O37" i="66"/>
  <c r="X39" i="66"/>
  <c r="X12" i="66"/>
  <c r="H12" i="66"/>
  <c r="Q12" i="66"/>
  <c r="L13" i="66"/>
  <c r="AB13" i="66"/>
  <c r="K38" i="66"/>
  <c r="K35" i="66"/>
  <c r="K39" i="66"/>
  <c r="K37" i="66"/>
  <c r="K34" i="66"/>
  <c r="K30" i="66"/>
  <c r="K28" i="66"/>
  <c r="S38" i="66"/>
  <c r="S35" i="66"/>
  <c r="S36" i="66"/>
  <c r="S29" i="66"/>
  <c r="AA38" i="66"/>
  <c r="AA35" i="66"/>
  <c r="AA39" i="66"/>
  <c r="AA37" i="66"/>
  <c r="AA34" i="66"/>
  <c r="AA30" i="66"/>
  <c r="AA28" i="66"/>
  <c r="K36" i="66"/>
  <c r="H11" i="66"/>
  <c r="P11" i="66"/>
  <c r="X11" i="66"/>
  <c r="J12" i="66"/>
  <c r="N12" i="66"/>
  <c r="U12" i="66"/>
  <c r="H28" i="66"/>
  <c r="S28" i="66"/>
  <c r="P29" i="66"/>
  <c r="AA29" i="66"/>
  <c r="X30" i="66"/>
  <c r="H34" i="66"/>
  <c r="S34" i="66"/>
  <c r="O36" i="66"/>
  <c r="H37" i="66"/>
  <c r="X37" i="66"/>
  <c r="T38" i="66"/>
  <c r="O39" i="66"/>
  <c r="Z31" i="66"/>
  <c r="V31" i="66"/>
  <c r="R31" i="66"/>
  <c r="N31" i="66"/>
  <c r="J31" i="66"/>
  <c r="F31" i="66"/>
  <c r="E28" i="66"/>
  <c r="U28" i="66"/>
  <c r="M29" i="66"/>
  <c r="E30" i="66"/>
  <c r="U30" i="66"/>
  <c r="H31" i="66"/>
  <c r="M31" i="66"/>
  <c r="S31" i="66"/>
  <c r="X31" i="66"/>
  <c r="E34" i="66"/>
  <c r="U34" i="66"/>
  <c r="I35" i="66"/>
  <c r="Y35" i="66"/>
  <c r="M36" i="66"/>
  <c r="U38" i="66"/>
  <c r="U39" i="66"/>
  <c r="Q28" i="66"/>
  <c r="I29" i="66"/>
  <c r="Y29" i="66"/>
  <c r="Q30" i="66"/>
  <c r="I31" i="66"/>
  <c r="O31" i="66"/>
  <c r="T31" i="66"/>
  <c r="Y31" i="66"/>
  <c r="Q34" i="66"/>
  <c r="U35" i="66"/>
  <c r="I36" i="66"/>
  <c r="Y36" i="66"/>
  <c r="Q38" i="66"/>
  <c r="Q39" i="66"/>
  <c r="F28" i="66"/>
  <c r="J28" i="66"/>
  <c r="N28" i="66"/>
  <c r="R28" i="66"/>
  <c r="V28" i="66"/>
  <c r="Z28" i="66"/>
  <c r="F29" i="66"/>
  <c r="J29" i="66"/>
  <c r="N29" i="66"/>
  <c r="R29" i="66"/>
  <c r="V29" i="66"/>
  <c r="Z29" i="66"/>
  <c r="F30" i="66"/>
  <c r="J30" i="66"/>
  <c r="N30" i="66"/>
  <c r="R30" i="66"/>
  <c r="V30" i="66"/>
  <c r="Z30" i="66"/>
  <c r="J34" i="66"/>
  <c r="N34" i="66"/>
  <c r="R34" i="66"/>
  <c r="V34" i="66"/>
  <c r="Z34" i="66"/>
  <c r="K87" i="60"/>
  <c r="M87" i="60" s="1"/>
  <c r="H70" i="60" s="1"/>
  <c r="J67" i="60" s="1"/>
  <c r="E105" i="60" s="1"/>
  <c r="H127" i="60"/>
  <c r="F128" i="60"/>
  <c r="G127" i="60"/>
  <c r="G128" i="60"/>
  <c r="G132" i="60" s="1"/>
  <c r="E127" i="60"/>
  <c r="F127" i="60"/>
  <c r="I127" i="60"/>
  <c r="J64" i="60"/>
  <c r="E95" i="65"/>
  <c r="E82" i="65"/>
  <c r="I82" i="65"/>
  <c r="I95" i="65"/>
  <c r="F95" i="65"/>
  <c r="F82" i="65"/>
  <c r="G82" i="65"/>
  <c r="G95" i="65"/>
  <c r="H82" i="65"/>
  <c r="H95" i="65"/>
  <c r="M15" i="65"/>
  <c r="D120" i="65" s="1"/>
  <c r="E95" i="64"/>
  <c r="E82" i="64"/>
  <c r="H82" i="64"/>
  <c r="K114" i="64"/>
  <c r="F95" i="64"/>
  <c r="F82" i="64"/>
  <c r="G91" i="64"/>
  <c r="I95" i="64"/>
  <c r="I82" i="64"/>
  <c r="G92" i="64"/>
  <c r="G93" i="64" s="1"/>
  <c r="G95" i="64"/>
  <c r="M15" i="64"/>
  <c r="D120" i="64" s="1"/>
  <c r="M134" i="57"/>
  <c r="O134" i="57" s="1"/>
  <c r="O75" i="63"/>
  <c r="N75" i="63" s="1"/>
  <c r="O67" i="63"/>
  <c r="N69" i="63"/>
  <c r="N68" i="63"/>
  <c r="N67" i="63"/>
  <c r="O76" i="63"/>
  <c r="N76" i="63" s="1"/>
  <c r="D115" i="63"/>
  <c r="I101" i="63"/>
  <c r="E101" i="63"/>
  <c r="H101" i="63"/>
  <c r="H108" i="63" s="1"/>
  <c r="G101" i="63"/>
  <c r="G108" i="63" s="1"/>
  <c r="F101" i="63"/>
  <c r="F108" i="63" s="1"/>
  <c r="V59" i="63"/>
  <c r="X59" i="63" s="1"/>
  <c r="G87" i="63" s="1"/>
  <c r="X58" i="63"/>
  <c r="Q77" i="63"/>
  <c r="O77" i="63"/>
  <c r="N77" i="63" s="1"/>
  <c r="G95" i="63"/>
  <c r="F95" i="63"/>
  <c r="I95" i="63"/>
  <c r="E95" i="63"/>
  <c r="H95" i="63"/>
  <c r="R22" i="63"/>
  <c r="Q24" i="63"/>
  <c r="R24" i="63" s="1"/>
  <c r="R25" i="63"/>
  <c r="X57" i="63"/>
  <c r="P67" i="63" l="1"/>
  <c r="Q67" i="63" s="1"/>
  <c r="K64" i="60"/>
  <c r="F102" i="60"/>
  <c r="F114" i="60" s="1"/>
  <c r="G65" i="60"/>
  <c r="G66" i="60" s="1"/>
  <c r="G108" i="60"/>
  <c r="G82" i="60" s="1"/>
  <c r="E114" i="60"/>
  <c r="K65" i="68"/>
  <c r="K66" i="68" s="1"/>
  <c r="K67" i="68" s="1"/>
  <c r="U18" i="69"/>
  <c r="U23" i="69" s="1"/>
  <c r="U53" i="69" s="1"/>
  <c r="V16" i="69"/>
  <c r="V18" i="69" s="1"/>
  <c r="V23" i="69" s="1"/>
  <c r="V53" i="69" s="1"/>
  <c r="Y16" i="69"/>
  <c r="Y18" i="69" s="1"/>
  <c r="Y23" i="69" s="1"/>
  <c r="Y53" i="69" s="1"/>
  <c r="Q18" i="69"/>
  <c r="Q23" i="69" s="1"/>
  <c r="Q53" i="69" s="1"/>
  <c r="Z17" i="69"/>
  <c r="Z18" i="69" s="1"/>
  <c r="Z23" i="69" s="1"/>
  <c r="Z53" i="69" s="1"/>
  <c r="AA18" i="69"/>
  <c r="AA23" i="69" s="1"/>
  <c r="AA53" i="69" s="1"/>
  <c r="G54" i="69"/>
  <c r="H54" i="69" s="1"/>
  <c r="I54" i="69" s="1"/>
  <c r="J54" i="69" s="1"/>
  <c r="K54" i="69" s="1"/>
  <c r="L54" i="69" s="1"/>
  <c r="M54" i="69" s="1"/>
  <c r="N54" i="69" s="1"/>
  <c r="W16" i="69"/>
  <c r="W17" i="69"/>
  <c r="O17" i="69"/>
  <c r="O16" i="69"/>
  <c r="O18" i="69" s="1"/>
  <c r="O23" i="69" s="1"/>
  <c r="O53" i="69" s="1"/>
  <c r="S16" i="69"/>
  <c r="S18" i="69" s="1"/>
  <c r="S23" i="69" s="1"/>
  <c r="S53" i="69" s="1"/>
  <c r="S17" i="69"/>
  <c r="G101" i="68"/>
  <c r="L64" i="68"/>
  <c r="L65" i="68" s="1"/>
  <c r="L66" i="68" s="1"/>
  <c r="E113" i="68"/>
  <c r="E104" i="68"/>
  <c r="F104" i="68"/>
  <c r="F113" i="68"/>
  <c r="G66" i="68"/>
  <c r="G67" i="68"/>
  <c r="P78" i="68"/>
  <c r="S14" i="66"/>
  <c r="S16" i="66" s="1"/>
  <c r="O14" i="66"/>
  <c r="O16" i="66" s="1"/>
  <c r="Y14" i="66"/>
  <c r="Y17" i="66" s="1"/>
  <c r="W14" i="66"/>
  <c r="W16" i="66" s="1"/>
  <c r="Z14" i="66"/>
  <c r="Z16" i="66" s="1"/>
  <c r="Q14" i="66"/>
  <c r="Q16" i="66" s="1"/>
  <c r="E16" i="66"/>
  <c r="E18" i="66" s="1"/>
  <c r="F16" i="66"/>
  <c r="F18" i="66" s="1"/>
  <c r="K14" i="66"/>
  <c r="K17" i="66" s="1"/>
  <c r="N14" i="66"/>
  <c r="N17" i="66" s="1"/>
  <c r="H14" i="66"/>
  <c r="H17" i="66" s="1"/>
  <c r="G17" i="66"/>
  <c r="G16" i="66"/>
  <c r="AA17" i="66"/>
  <c r="AA16" i="66"/>
  <c r="X14" i="66"/>
  <c r="J14" i="66"/>
  <c r="Y16" i="66"/>
  <c r="AB14" i="66"/>
  <c r="O17" i="66"/>
  <c r="U14" i="66"/>
  <c r="P14" i="66"/>
  <c r="V14" i="66"/>
  <c r="M14" i="66"/>
  <c r="T14" i="66"/>
  <c r="R14" i="66"/>
  <c r="I14" i="66"/>
  <c r="L14" i="66"/>
  <c r="D119" i="65"/>
  <c r="G103" i="65"/>
  <c r="I103" i="65"/>
  <c r="F103" i="65"/>
  <c r="F116" i="65" s="1"/>
  <c r="E103" i="65"/>
  <c r="H103" i="65"/>
  <c r="H116" i="65" s="1"/>
  <c r="G91" i="65"/>
  <c r="G93" i="65" s="1"/>
  <c r="G92" i="65"/>
  <c r="I92" i="65"/>
  <c r="I91" i="65"/>
  <c r="I93" i="65" s="1"/>
  <c r="F92" i="65"/>
  <c r="F93" i="65" s="1"/>
  <c r="F91" i="65"/>
  <c r="E91" i="65"/>
  <c r="E93" i="65" s="1"/>
  <c r="E92" i="65"/>
  <c r="H92" i="65"/>
  <c r="H91" i="65"/>
  <c r="F92" i="64"/>
  <c r="F91" i="64"/>
  <c r="F93" i="64"/>
  <c r="E92" i="64"/>
  <c r="E91" i="64"/>
  <c r="E93" i="64" s="1"/>
  <c r="I92" i="64"/>
  <c r="I91" i="64"/>
  <c r="I93" i="64" s="1"/>
  <c r="G103" i="64"/>
  <c r="F103" i="64"/>
  <c r="F116" i="64" s="1"/>
  <c r="I103" i="64"/>
  <c r="E103" i="64"/>
  <c r="H103" i="64"/>
  <c r="H116" i="64" s="1"/>
  <c r="H92" i="64"/>
  <c r="H91" i="64"/>
  <c r="H93" i="64" s="1"/>
  <c r="H113" i="64" s="1"/>
  <c r="R29" i="63"/>
  <c r="W59" i="63"/>
  <c r="E108" i="63"/>
  <c r="I104" i="63"/>
  <c r="I108" i="63" s="1"/>
  <c r="W57" i="63"/>
  <c r="E87" i="63"/>
  <c r="F87" i="63"/>
  <c r="W58" i="63"/>
  <c r="O68" i="63"/>
  <c r="P68" i="63" s="1"/>
  <c r="Q68" i="63" s="1"/>
  <c r="K65" i="60"/>
  <c r="K66" i="60" l="1"/>
  <c r="K67" i="60" s="1"/>
  <c r="F105" i="60" s="1"/>
  <c r="L67" i="68"/>
  <c r="M64" i="60"/>
  <c r="H102" i="60"/>
  <c r="H114" i="60" s="1"/>
  <c r="L64" i="60"/>
  <c r="G102" i="60"/>
  <c r="G114" i="60" s="1"/>
  <c r="W18" i="69"/>
  <c r="W23" i="69" s="1"/>
  <c r="W53" i="69" s="1"/>
  <c r="O54" i="69"/>
  <c r="N64" i="68"/>
  <c r="I101" i="68"/>
  <c r="M64" i="68"/>
  <c r="M65" i="68" s="1"/>
  <c r="M66" i="68" s="1"/>
  <c r="H101" i="68"/>
  <c r="E140" i="68"/>
  <c r="Q78" i="68"/>
  <c r="E135" i="68"/>
  <c r="G113" i="68"/>
  <c r="G104" i="68"/>
  <c r="S17" i="66"/>
  <c r="W17" i="66"/>
  <c r="W18" i="66" s="1"/>
  <c r="Z17" i="66"/>
  <c r="Z18" i="66" s="1"/>
  <c r="Q17" i="66"/>
  <c r="Q18" i="66" s="1"/>
  <c r="F23" i="66"/>
  <c r="F53" i="66" s="1"/>
  <c r="E23" i="66"/>
  <c r="E53" i="66" s="1"/>
  <c r="E54" i="66" s="1"/>
  <c r="H16" i="66"/>
  <c r="H18" i="66" s="1"/>
  <c r="AA18" i="66"/>
  <c r="K16" i="66"/>
  <c r="K18" i="66" s="1"/>
  <c r="Y18" i="66"/>
  <c r="N16" i="66"/>
  <c r="N18" i="66" s="1"/>
  <c r="O18" i="66"/>
  <c r="G18" i="66"/>
  <c r="S18" i="66"/>
  <c r="P17" i="66"/>
  <c r="P16" i="66"/>
  <c r="T17" i="66"/>
  <c r="T16" i="66"/>
  <c r="U17" i="66"/>
  <c r="U16" i="66"/>
  <c r="AB17" i="66"/>
  <c r="AB16" i="66"/>
  <c r="J16" i="66"/>
  <c r="J17" i="66"/>
  <c r="X17" i="66"/>
  <c r="X16" i="66"/>
  <c r="L17" i="66"/>
  <c r="L16" i="66"/>
  <c r="M17" i="66"/>
  <c r="M16" i="66"/>
  <c r="R17" i="66"/>
  <c r="R16" i="66"/>
  <c r="I17" i="66"/>
  <c r="I16" i="66"/>
  <c r="I18" i="66" s="1"/>
  <c r="V17" i="66"/>
  <c r="V16" i="66"/>
  <c r="G67" i="60"/>
  <c r="I116" i="65"/>
  <c r="H93" i="65"/>
  <c r="H113" i="65" s="1"/>
  <c r="E116" i="65"/>
  <c r="I108" i="65"/>
  <c r="I113" i="65" s="1"/>
  <c r="Q66" i="65"/>
  <c r="D125" i="65"/>
  <c r="H114" i="64"/>
  <c r="H115" i="64"/>
  <c r="H125" i="64" s="1"/>
  <c r="I113" i="64"/>
  <c r="E116" i="64"/>
  <c r="I108" i="64"/>
  <c r="I116" i="64"/>
  <c r="Q66" i="64"/>
  <c r="D125" i="64"/>
  <c r="O69" i="63"/>
  <c r="P69" i="63" s="1"/>
  <c r="Q69" i="63" s="1"/>
  <c r="I90" i="63"/>
  <c r="E90" i="63"/>
  <c r="R31" i="63"/>
  <c r="R32" i="63" s="1"/>
  <c r="H90" i="63"/>
  <c r="O37" i="63"/>
  <c r="G90" i="63"/>
  <c r="F90" i="63"/>
  <c r="L65" i="60"/>
  <c r="L66" i="60" l="1"/>
  <c r="L67" i="60" s="1"/>
  <c r="G105" i="60" s="1"/>
  <c r="M67" i="68"/>
  <c r="H104" i="68" s="1"/>
  <c r="N64" i="60"/>
  <c r="I102" i="60"/>
  <c r="I114" i="60" s="1"/>
  <c r="P54" i="69"/>
  <c r="Q54" i="69" s="1"/>
  <c r="R54" i="69" s="1"/>
  <c r="S54" i="69" s="1"/>
  <c r="T54" i="69" s="1"/>
  <c r="U54" i="69" s="1"/>
  <c r="V54" i="69" s="1"/>
  <c r="W54" i="69" s="1"/>
  <c r="X54" i="69" s="1"/>
  <c r="Y54" i="69" s="1"/>
  <c r="Z54" i="69" s="1"/>
  <c r="AA54" i="69" s="1"/>
  <c r="AB54" i="69" s="1"/>
  <c r="AC54" i="69" s="1"/>
  <c r="AD54" i="69" s="1"/>
  <c r="AE54" i="69" s="1"/>
  <c r="AF54" i="69" s="1"/>
  <c r="AG54" i="69" s="1"/>
  <c r="AH54" i="69" s="1"/>
  <c r="AI54" i="69" s="1"/>
  <c r="AJ54" i="69" s="1"/>
  <c r="AK54" i="69" s="1"/>
  <c r="AL54" i="69" s="1"/>
  <c r="AM54" i="69" s="1"/>
  <c r="AN54" i="69" s="1"/>
  <c r="I113" i="68"/>
  <c r="O79" i="68"/>
  <c r="E136" i="68"/>
  <c r="E137" i="68" s="1"/>
  <c r="E148" i="68" s="1"/>
  <c r="H113" i="68"/>
  <c r="N65" i="68"/>
  <c r="N66" i="68" s="1"/>
  <c r="F54" i="66"/>
  <c r="I23" i="66"/>
  <c r="I53" i="66" s="1"/>
  <c r="S23" i="66"/>
  <c r="S53" i="66" s="1"/>
  <c r="Y23" i="66"/>
  <c r="Y53" i="66" s="1"/>
  <c r="K23" i="66"/>
  <c r="K53" i="66" s="1"/>
  <c r="G23" i="66"/>
  <c r="G53" i="66" s="1"/>
  <c r="Q23" i="66"/>
  <c r="Q53" i="66" s="1"/>
  <c r="AA23" i="66"/>
  <c r="AA53" i="66" s="1"/>
  <c r="O23" i="66"/>
  <c r="O53" i="66" s="1"/>
  <c r="W23" i="66"/>
  <c r="W53" i="66" s="1"/>
  <c r="N23" i="66"/>
  <c r="N53" i="66" s="1"/>
  <c r="Z23" i="66"/>
  <c r="Z53" i="66" s="1"/>
  <c r="H23" i="66"/>
  <c r="H53" i="66" s="1"/>
  <c r="R18" i="66"/>
  <c r="U18" i="66"/>
  <c r="P18" i="66"/>
  <c r="X18" i="66"/>
  <c r="T18" i="66"/>
  <c r="L18" i="66"/>
  <c r="J18" i="66"/>
  <c r="V18" i="66"/>
  <c r="M18" i="66"/>
  <c r="AB18" i="66"/>
  <c r="I114" i="65"/>
  <c r="I115" i="65" s="1"/>
  <c r="I125" i="65" s="1"/>
  <c r="H114" i="65"/>
  <c r="H115" i="65"/>
  <c r="H125" i="65" s="1"/>
  <c r="O67" i="65"/>
  <c r="E89" i="65" s="1"/>
  <c r="E113" i="65" s="1"/>
  <c r="N67" i="65"/>
  <c r="P67" i="65" s="1"/>
  <c r="E118" i="65" s="1"/>
  <c r="N68" i="65"/>
  <c r="N69" i="65"/>
  <c r="O67" i="64"/>
  <c r="E89" i="64" s="1"/>
  <c r="E113" i="64" s="1"/>
  <c r="N68" i="64"/>
  <c r="N67" i="64"/>
  <c r="N69" i="64"/>
  <c r="I114" i="64"/>
  <c r="I115" i="64" s="1"/>
  <c r="I125" i="64" s="1"/>
  <c r="P37" i="63"/>
  <c r="R37" i="63"/>
  <c r="S37" i="63" s="1"/>
  <c r="Q37" i="63"/>
  <c r="M65" i="60"/>
  <c r="M66" i="60" l="1"/>
  <c r="M67" i="60" s="1"/>
  <c r="H105" i="60" s="1"/>
  <c r="N67" i="68"/>
  <c r="I104" i="68" s="1"/>
  <c r="F60" i="69"/>
  <c r="J70" i="69" s="1"/>
  <c r="I71" i="69" s="1"/>
  <c r="F111" i="68"/>
  <c r="F135" i="68" s="1"/>
  <c r="P79" i="68"/>
  <c r="G54" i="66"/>
  <c r="H54" i="66" s="1"/>
  <c r="I54" i="66" s="1"/>
  <c r="J23" i="66"/>
  <c r="J53" i="66" s="1"/>
  <c r="P23" i="66"/>
  <c r="P53" i="66" s="1"/>
  <c r="AB23" i="66"/>
  <c r="AB53" i="66" s="1"/>
  <c r="L23" i="66"/>
  <c r="L53" i="66" s="1"/>
  <c r="U23" i="66"/>
  <c r="U53" i="66" s="1"/>
  <c r="M23" i="66"/>
  <c r="M53" i="66" s="1"/>
  <c r="T23" i="66"/>
  <c r="T53" i="66" s="1"/>
  <c r="R23" i="66"/>
  <c r="R53" i="66" s="1"/>
  <c r="V23" i="66"/>
  <c r="V53" i="66" s="1"/>
  <c r="X23" i="66"/>
  <c r="X53" i="66" s="1"/>
  <c r="E114" i="65"/>
  <c r="E115" i="65" s="1"/>
  <c r="E125" i="65" s="1"/>
  <c r="Q67" i="65"/>
  <c r="P67" i="64"/>
  <c r="E118" i="64" s="1"/>
  <c r="E114" i="64"/>
  <c r="E115" i="64" s="1"/>
  <c r="E125" i="64" s="1"/>
  <c r="Q67" i="64"/>
  <c r="E88" i="63"/>
  <c r="E89" i="63"/>
  <c r="H89" i="63"/>
  <c r="H88" i="63"/>
  <c r="G88" i="63"/>
  <c r="G89" i="63"/>
  <c r="G96" i="63" s="1"/>
  <c r="G105" i="63" s="1"/>
  <c r="I89" i="63"/>
  <c r="I88" i="63"/>
  <c r="F89" i="63"/>
  <c r="F88" i="63"/>
  <c r="N65" i="60"/>
  <c r="N66" i="60" l="1"/>
  <c r="N67" i="60" s="1"/>
  <c r="I105" i="60" s="1"/>
  <c r="J71" i="69"/>
  <c r="I72" i="69" s="1"/>
  <c r="F136" i="68"/>
  <c r="F137" i="68" s="1"/>
  <c r="F140" i="68"/>
  <c r="Q79" i="68"/>
  <c r="J54" i="66"/>
  <c r="K54" i="66" s="1"/>
  <c r="L54" i="66"/>
  <c r="M54" i="66" s="1"/>
  <c r="N54" i="66" s="1"/>
  <c r="O54" i="66" s="1"/>
  <c r="P54" i="66" s="1"/>
  <c r="Q54" i="66" s="1"/>
  <c r="R54" i="66" s="1"/>
  <c r="S54" i="66" s="1"/>
  <c r="T54" i="66" s="1"/>
  <c r="U54" i="66" s="1"/>
  <c r="V54" i="66" s="1"/>
  <c r="W54" i="66" s="1"/>
  <c r="X54" i="66" s="1"/>
  <c r="Y54" i="66" s="1"/>
  <c r="Z54" i="66" s="1"/>
  <c r="AA54" i="66" s="1"/>
  <c r="AB54" i="66" s="1"/>
  <c r="F60" i="66" s="1"/>
  <c r="J70" i="66" s="1"/>
  <c r="I71" i="66" s="1"/>
  <c r="J71" i="66" s="1"/>
  <c r="I72" i="66" s="1"/>
  <c r="O68" i="65"/>
  <c r="O68" i="64"/>
  <c r="H96" i="63"/>
  <c r="H105" i="63" s="1"/>
  <c r="G106" i="63"/>
  <c r="G107" i="63" s="1"/>
  <c r="G115" i="63" s="1"/>
  <c r="E96" i="63"/>
  <c r="E105" i="63" s="1"/>
  <c r="F96" i="63"/>
  <c r="F105" i="63" s="1"/>
  <c r="I96" i="63"/>
  <c r="I105" i="63" s="1"/>
  <c r="F148" i="68" l="1"/>
  <c r="J72" i="69"/>
  <c r="I73" i="69" s="1"/>
  <c r="O80" i="68"/>
  <c r="J72" i="66"/>
  <c r="I73" i="66" s="1"/>
  <c r="F89" i="65"/>
  <c r="P68" i="65"/>
  <c r="F89" i="64"/>
  <c r="F113" i="64" s="1"/>
  <c r="P68" i="64"/>
  <c r="I106" i="63"/>
  <c r="I107" i="63" s="1"/>
  <c r="I115" i="63" s="1"/>
  <c r="E106" i="63"/>
  <c r="E107" i="63"/>
  <c r="E115" i="63" s="1"/>
  <c r="F106" i="63"/>
  <c r="F107" i="63" s="1"/>
  <c r="F115" i="63" s="1"/>
  <c r="H106" i="63"/>
  <c r="H107" i="63" s="1"/>
  <c r="H115" i="63" s="1"/>
  <c r="J73" i="69" l="1"/>
  <c r="I74" i="69"/>
  <c r="G111" i="68"/>
  <c r="G135" i="68" s="1"/>
  <c r="P80" i="68"/>
  <c r="J73" i="66"/>
  <c r="I74" i="66" s="1"/>
  <c r="F118" i="65"/>
  <c r="Q68" i="65"/>
  <c r="F114" i="65"/>
  <c r="F115" i="65" s="1"/>
  <c r="F125" i="65" s="1"/>
  <c r="F118" i="64"/>
  <c r="Q68" i="64"/>
  <c r="F114" i="64"/>
  <c r="F115" i="64" s="1"/>
  <c r="J115" i="63"/>
  <c r="J74" i="69" l="1"/>
  <c r="I75" i="69"/>
  <c r="J75" i="69" s="1"/>
  <c r="G140" i="68"/>
  <c r="Q80" i="68"/>
  <c r="G136" i="68"/>
  <c r="G137" i="68" s="1"/>
  <c r="G148" i="68" s="1"/>
  <c r="J74" i="66"/>
  <c r="I75" i="66" s="1"/>
  <c r="J75" i="66" s="1"/>
  <c r="O69" i="65"/>
  <c r="F125" i="64"/>
  <c r="O69" i="64"/>
  <c r="O81" i="68" l="1"/>
  <c r="G89" i="65"/>
  <c r="P69" i="65"/>
  <c r="G89" i="64"/>
  <c r="P69" i="64"/>
  <c r="H111" i="68" l="1"/>
  <c r="H135" i="68" s="1"/>
  <c r="P81" i="68"/>
  <c r="G118" i="65"/>
  <c r="Q69" i="65"/>
  <c r="G114" i="65"/>
  <c r="G115" i="65" s="1"/>
  <c r="G125" i="65" s="1"/>
  <c r="J125" i="65" s="1"/>
  <c r="G118" i="64"/>
  <c r="Q69" i="64"/>
  <c r="G114" i="64"/>
  <c r="G115" i="64" s="1"/>
  <c r="G125" i="64" s="1"/>
  <c r="J125" i="64" s="1"/>
  <c r="H140" i="68" l="1"/>
  <c r="Q81" i="68"/>
  <c r="H136" i="68"/>
  <c r="H137" i="68" s="1"/>
  <c r="H148" i="68" s="1"/>
  <c r="O82" i="68" l="1"/>
  <c r="I111" i="68" l="1"/>
  <c r="I135" i="68" s="1"/>
  <c r="P82" i="68"/>
  <c r="I140" i="68" l="1"/>
  <c r="Q82" i="68"/>
  <c r="I136" i="68"/>
  <c r="I137" i="68"/>
  <c r="I148" i="68" s="1"/>
  <c r="J148" i="68" s="1"/>
  <c r="F91" i="62" l="1"/>
  <c r="G91" i="62"/>
  <c r="H91" i="62"/>
  <c r="I91" i="62"/>
  <c r="E91" i="62"/>
  <c r="G179" i="62" s="1"/>
  <c r="E91" i="49"/>
  <c r="H185" i="62"/>
  <c r="I185" i="62" s="1"/>
  <c r="H184" i="62"/>
  <c r="I183" i="62"/>
  <c r="G177" i="62"/>
  <c r="G176" i="62"/>
  <c r="R169" i="62"/>
  <c r="S169" i="62" s="1"/>
  <c r="T169" i="62" s="1"/>
  <c r="N169" i="62"/>
  <c r="O169" i="62" s="1"/>
  <c r="P169" i="62" s="1"/>
  <c r="Q169" i="62" s="1"/>
  <c r="J169" i="62"/>
  <c r="K169" i="62" s="1"/>
  <c r="L169" i="62" s="1"/>
  <c r="M169" i="62" s="1"/>
  <c r="I169" i="62"/>
  <c r="T168" i="62"/>
  <c r="S168" i="62"/>
  <c r="R168" i="62"/>
  <c r="Q168" i="62"/>
  <c r="P168" i="62"/>
  <c r="O168" i="62"/>
  <c r="N168" i="62"/>
  <c r="M168" i="62"/>
  <c r="L168" i="62"/>
  <c r="K168" i="62"/>
  <c r="J168" i="62"/>
  <c r="I168" i="62"/>
  <c r="T167" i="62"/>
  <c r="S167" i="62"/>
  <c r="R167" i="62"/>
  <c r="Q167" i="62"/>
  <c r="P167" i="62"/>
  <c r="O167" i="62"/>
  <c r="N167" i="62"/>
  <c r="M167" i="62"/>
  <c r="L167" i="62"/>
  <c r="K167" i="62"/>
  <c r="J167" i="62"/>
  <c r="I167" i="62"/>
  <c r="C167" i="62"/>
  <c r="T166" i="62"/>
  <c r="S166" i="62"/>
  <c r="R166" i="62"/>
  <c r="Q166" i="62"/>
  <c r="P166" i="62"/>
  <c r="O166" i="62"/>
  <c r="N166" i="62"/>
  <c r="M166" i="62"/>
  <c r="L166" i="62"/>
  <c r="K166" i="62"/>
  <c r="J166" i="62"/>
  <c r="I166" i="62"/>
  <c r="I172" i="62" s="1"/>
  <c r="I173" i="62" s="1"/>
  <c r="C166" i="62"/>
  <c r="C163" i="62"/>
  <c r="C158" i="62"/>
  <c r="I144" i="62"/>
  <c r="K136" i="62"/>
  <c r="I136" i="62"/>
  <c r="I141" i="62" s="1"/>
  <c r="C149" i="62" s="1"/>
  <c r="C142" i="62" s="1"/>
  <c r="D116" i="62"/>
  <c r="F113" i="62"/>
  <c r="I106" i="62"/>
  <c r="H106" i="62"/>
  <c r="G106" i="62"/>
  <c r="G113" i="62" s="1"/>
  <c r="I105" i="62"/>
  <c r="I113" i="62" s="1"/>
  <c r="H105" i="62"/>
  <c r="H113" i="62" s="1"/>
  <c r="G105" i="62"/>
  <c r="F105" i="62"/>
  <c r="E105" i="62"/>
  <c r="E113" i="62" s="1"/>
  <c r="I100" i="62"/>
  <c r="H100" i="62"/>
  <c r="G100" i="62"/>
  <c r="F100" i="62"/>
  <c r="E100" i="62"/>
  <c r="G99" i="62"/>
  <c r="F99" i="62"/>
  <c r="E99" i="62"/>
  <c r="E98" i="62"/>
  <c r="E97" i="62"/>
  <c r="I94" i="62"/>
  <c r="I93" i="62"/>
  <c r="K163" i="62"/>
  <c r="L163" i="62" s="1"/>
  <c r="M163" i="62" s="1"/>
  <c r="N163" i="62" s="1"/>
  <c r="O163" i="62" s="1"/>
  <c r="P163" i="62" s="1"/>
  <c r="Q163" i="62" s="1"/>
  <c r="R163" i="62" s="1"/>
  <c r="S163" i="62" s="1"/>
  <c r="T163" i="62" s="1"/>
  <c r="G88" i="62"/>
  <c r="F88" i="62"/>
  <c r="N31" i="62"/>
  <c r="M34" i="62" s="1"/>
  <c r="K23" i="62"/>
  <c r="M21" i="62"/>
  <c r="H184" i="49"/>
  <c r="I183" i="49"/>
  <c r="L197" i="60"/>
  <c r="N185" i="60"/>
  <c r="C182" i="60"/>
  <c r="C173" i="60"/>
  <c r="I148" i="60"/>
  <c r="O71" i="60"/>
  <c r="P71" i="60" s="1"/>
  <c r="O59" i="57"/>
  <c r="I124" i="57"/>
  <c r="F23" i="58"/>
  <c r="G23" i="58"/>
  <c r="H23" i="58"/>
  <c r="I23" i="58"/>
  <c r="J23" i="58"/>
  <c r="K23" i="58"/>
  <c r="L23" i="58"/>
  <c r="M23" i="58"/>
  <c r="N23" i="58"/>
  <c r="O23" i="58"/>
  <c r="P23" i="58"/>
  <c r="Q23" i="58"/>
  <c r="R23" i="58"/>
  <c r="S23" i="58"/>
  <c r="T23" i="58"/>
  <c r="U23" i="58"/>
  <c r="V23" i="58"/>
  <c r="W23" i="58"/>
  <c r="X23" i="58"/>
  <c r="Y23" i="58"/>
  <c r="Z23" i="58"/>
  <c r="AA23" i="58"/>
  <c r="AB23" i="58"/>
  <c r="F43" i="58"/>
  <c r="G43" i="58"/>
  <c r="H43" i="58"/>
  <c r="I43" i="58"/>
  <c r="J43" i="58"/>
  <c r="K43" i="58"/>
  <c r="L43" i="58"/>
  <c r="M43" i="58"/>
  <c r="N43" i="58"/>
  <c r="O43" i="58"/>
  <c r="P43" i="58"/>
  <c r="Q43" i="58"/>
  <c r="R43" i="58"/>
  <c r="S43" i="58"/>
  <c r="T43" i="58"/>
  <c r="U43" i="58"/>
  <c r="V43" i="58"/>
  <c r="W43" i="58"/>
  <c r="X43" i="58"/>
  <c r="Y43" i="58"/>
  <c r="Z43" i="58"/>
  <c r="AA43" i="58"/>
  <c r="AB43" i="58"/>
  <c r="E43" i="58"/>
  <c r="F44" i="58"/>
  <c r="G44" i="58"/>
  <c r="H44" i="58"/>
  <c r="I44" i="58"/>
  <c r="J44" i="58"/>
  <c r="K44" i="58"/>
  <c r="L44" i="58"/>
  <c r="M44" i="58"/>
  <c r="N44" i="58"/>
  <c r="O44" i="58"/>
  <c r="P44" i="58"/>
  <c r="Q44" i="58"/>
  <c r="R44" i="58"/>
  <c r="S44" i="58"/>
  <c r="T44" i="58"/>
  <c r="U44" i="58"/>
  <c r="V44" i="58"/>
  <c r="W44" i="58"/>
  <c r="X44" i="58"/>
  <c r="Y44" i="58"/>
  <c r="Z44" i="58"/>
  <c r="AA44" i="58"/>
  <c r="AB44" i="58"/>
  <c r="E44" i="58"/>
  <c r="G37" i="58"/>
  <c r="H37" i="58"/>
  <c r="I37" i="58"/>
  <c r="J37" i="58"/>
  <c r="K37" i="58"/>
  <c r="L37" i="58"/>
  <c r="M37" i="58"/>
  <c r="N37" i="58"/>
  <c r="O37" i="58"/>
  <c r="P37" i="58"/>
  <c r="Q37" i="58"/>
  <c r="R37" i="58"/>
  <c r="S37" i="58"/>
  <c r="T37" i="58"/>
  <c r="U37" i="58"/>
  <c r="V37" i="58"/>
  <c r="W37" i="58"/>
  <c r="X37" i="58"/>
  <c r="Y37" i="58"/>
  <c r="Z37" i="58"/>
  <c r="AA37" i="58"/>
  <c r="AB37" i="58"/>
  <c r="G36" i="58"/>
  <c r="H36" i="58"/>
  <c r="I36" i="58"/>
  <c r="J36" i="58"/>
  <c r="K36" i="58"/>
  <c r="L36" i="58"/>
  <c r="M36" i="58"/>
  <c r="N36" i="58"/>
  <c r="O36" i="58"/>
  <c r="P36" i="58"/>
  <c r="Q36" i="58"/>
  <c r="R36" i="58"/>
  <c r="S36" i="58"/>
  <c r="T36" i="58"/>
  <c r="U36" i="58"/>
  <c r="V36" i="58"/>
  <c r="W36" i="58"/>
  <c r="X36" i="58"/>
  <c r="Y36" i="58"/>
  <c r="Z36" i="58"/>
  <c r="AA36" i="58"/>
  <c r="AB36" i="58"/>
  <c r="G35" i="58"/>
  <c r="H35" i="58"/>
  <c r="I35" i="58"/>
  <c r="J35" i="58"/>
  <c r="K35" i="58"/>
  <c r="L35" i="58"/>
  <c r="M35" i="58"/>
  <c r="N35" i="58"/>
  <c r="O35" i="58"/>
  <c r="P35" i="58"/>
  <c r="Q35" i="58"/>
  <c r="R35" i="58"/>
  <c r="S35" i="58"/>
  <c r="T35" i="58"/>
  <c r="U35" i="58"/>
  <c r="V35" i="58"/>
  <c r="W35" i="58"/>
  <c r="X35" i="58"/>
  <c r="Y35" i="58"/>
  <c r="Z35" i="58"/>
  <c r="AA35" i="58"/>
  <c r="AB35" i="58"/>
  <c r="F36" i="58"/>
  <c r="F37" i="58"/>
  <c r="F35" i="58"/>
  <c r="V38" i="58"/>
  <c r="J95" i="58"/>
  <c r="G95" i="58"/>
  <c r="H95" i="58" s="1"/>
  <c r="J94" i="58"/>
  <c r="G94" i="58"/>
  <c r="H94" i="58" s="1"/>
  <c r="J93" i="58"/>
  <c r="G93" i="58"/>
  <c r="H93" i="58" s="1"/>
  <c r="J92" i="58"/>
  <c r="G92" i="58"/>
  <c r="H92" i="58" s="1"/>
  <c r="G91" i="58"/>
  <c r="H91" i="58" s="1"/>
  <c r="J91" i="58" s="1"/>
  <c r="F86" i="58"/>
  <c r="F85" i="58"/>
  <c r="F84" i="58"/>
  <c r="H75" i="58"/>
  <c r="H74" i="58"/>
  <c r="H73" i="58"/>
  <c r="D73" i="58"/>
  <c r="H72" i="58"/>
  <c r="AB49" i="58"/>
  <c r="AA49" i="58"/>
  <c r="Z49" i="58"/>
  <c r="Y49" i="58"/>
  <c r="X49" i="58"/>
  <c r="W49" i="58"/>
  <c r="V49" i="58"/>
  <c r="U49" i="58"/>
  <c r="T49" i="58"/>
  <c r="S49" i="58"/>
  <c r="R49" i="58"/>
  <c r="Q49" i="58"/>
  <c r="P49" i="58"/>
  <c r="O49" i="58"/>
  <c r="N49" i="58"/>
  <c r="M49" i="58"/>
  <c r="L49" i="58"/>
  <c r="K49" i="58"/>
  <c r="J49" i="58"/>
  <c r="I49" i="58"/>
  <c r="H49" i="58"/>
  <c r="G49" i="58"/>
  <c r="F49" i="58"/>
  <c r="E49" i="58"/>
  <c r="AB47" i="58"/>
  <c r="AA47" i="58"/>
  <c r="Z47" i="58"/>
  <c r="Y47" i="58"/>
  <c r="X47" i="58"/>
  <c r="W47" i="58"/>
  <c r="V47" i="58"/>
  <c r="U47" i="58"/>
  <c r="T47" i="58"/>
  <c r="S47" i="58"/>
  <c r="R47" i="58"/>
  <c r="Q47" i="58"/>
  <c r="P47" i="58"/>
  <c r="O47" i="58"/>
  <c r="N47" i="58"/>
  <c r="M47" i="58"/>
  <c r="L47" i="58"/>
  <c r="K47" i="58"/>
  <c r="J47" i="58"/>
  <c r="I47" i="58"/>
  <c r="H47" i="58"/>
  <c r="G47" i="58"/>
  <c r="F47" i="58"/>
  <c r="E47" i="58"/>
  <c r="AB46" i="58"/>
  <c r="AA46" i="58"/>
  <c r="Z46" i="58"/>
  <c r="Y46" i="58"/>
  <c r="X46" i="58"/>
  <c r="W46" i="58"/>
  <c r="V46" i="58"/>
  <c r="U46" i="58"/>
  <c r="T46" i="58"/>
  <c r="S46" i="58"/>
  <c r="R46" i="58"/>
  <c r="Q46" i="58"/>
  <c r="P46" i="58"/>
  <c r="O46" i="58"/>
  <c r="N46" i="58"/>
  <c r="M46" i="58"/>
  <c r="L46" i="58"/>
  <c r="K46" i="58"/>
  <c r="J46" i="58"/>
  <c r="I46" i="58"/>
  <c r="H46" i="58"/>
  <c r="G46" i="58"/>
  <c r="F46" i="58"/>
  <c r="E46" i="58"/>
  <c r="AB45" i="58"/>
  <c r="AA45" i="58"/>
  <c r="Z45" i="58"/>
  <c r="Y45" i="58"/>
  <c r="X45" i="58"/>
  <c r="W45" i="58"/>
  <c r="V45" i="58"/>
  <c r="U45" i="58"/>
  <c r="T45" i="58"/>
  <c r="S45" i="58"/>
  <c r="R45" i="58"/>
  <c r="Q45" i="58"/>
  <c r="P45" i="58"/>
  <c r="O45" i="58"/>
  <c r="N45" i="58"/>
  <c r="M45" i="58"/>
  <c r="L45" i="58"/>
  <c r="K45" i="58"/>
  <c r="J45" i="58"/>
  <c r="I45" i="58"/>
  <c r="H45" i="58"/>
  <c r="G45" i="58"/>
  <c r="F45" i="58"/>
  <c r="E45" i="58"/>
  <c r="AB25" i="58"/>
  <c r="AB39" i="58" s="1"/>
  <c r="AA25" i="58"/>
  <c r="AA38" i="58" s="1"/>
  <c r="Z25" i="58"/>
  <c r="Y25" i="58"/>
  <c r="Y39" i="58" s="1"/>
  <c r="X25" i="58"/>
  <c r="X39" i="58" s="1"/>
  <c r="W25" i="58"/>
  <c r="W28" i="58" s="1"/>
  <c r="V25" i="58"/>
  <c r="U25" i="58"/>
  <c r="U39" i="58" s="1"/>
  <c r="T25" i="58"/>
  <c r="T39" i="58" s="1"/>
  <c r="S25" i="58"/>
  <c r="S38" i="58" s="1"/>
  <c r="R25" i="58"/>
  <c r="Q25" i="58"/>
  <c r="Q39" i="58" s="1"/>
  <c r="P25" i="58"/>
  <c r="P39" i="58" s="1"/>
  <c r="O25" i="58"/>
  <c r="O30" i="58" s="1"/>
  <c r="N25" i="58"/>
  <c r="M25" i="58"/>
  <c r="M39" i="58" s="1"/>
  <c r="L25" i="58"/>
  <c r="L39" i="58" s="1"/>
  <c r="K25" i="58"/>
  <c r="K38" i="58" s="1"/>
  <c r="J25" i="58"/>
  <c r="I25" i="58"/>
  <c r="I39" i="58" s="1"/>
  <c r="H25" i="58"/>
  <c r="H39" i="58" s="1"/>
  <c r="G25" i="58"/>
  <c r="G30" i="58" s="1"/>
  <c r="F25" i="58"/>
  <c r="E25" i="58"/>
  <c r="E34" i="58" s="1"/>
  <c r="C14" i="58"/>
  <c r="Q12" i="58"/>
  <c r="AB7" i="58"/>
  <c r="AB12" i="58" s="1"/>
  <c r="AA7" i="58"/>
  <c r="Z7" i="58"/>
  <c r="Y7" i="58"/>
  <c r="Y10" i="58" s="1"/>
  <c r="X7" i="58"/>
  <c r="X12" i="58" s="1"/>
  <c r="W7" i="58"/>
  <c r="W10" i="58" s="1"/>
  <c r="V7" i="58"/>
  <c r="U7" i="58"/>
  <c r="U10" i="58" s="1"/>
  <c r="T7" i="58"/>
  <c r="T12" i="58" s="1"/>
  <c r="S7" i="58"/>
  <c r="R7" i="58"/>
  <c r="Q7" i="58"/>
  <c r="Q10" i="58" s="1"/>
  <c r="P7" i="58"/>
  <c r="P12" i="58" s="1"/>
  <c r="O7" i="58"/>
  <c r="O10" i="58" s="1"/>
  <c r="N7" i="58"/>
  <c r="M7" i="58"/>
  <c r="M10" i="58" s="1"/>
  <c r="L7" i="58"/>
  <c r="L12" i="58" s="1"/>
  <c r="K7" i="58"/>
  <c r="J7" i="58"/>
  <c r="I7" i="58"/>
  <c r="I10" i="58" s="1"/>
  <c r="H7" i="58"/>
  <c r="H12" i="58" s="1"/>
  <c r="G7" i="58"/>
  <c r="G12" i="58" s="1"/>
  <c r="F7" i="58"/>
  <c r="F11" i="58" s="1"/>
  <c r="E7" i="58"/>
  <c r="E10" i="58" s="1"/>
  <c r="E14" i="58" s="1"/>
  <c r="L173" i="57"/>
  <c r="O171" i="57" s="1"/>
  <c r="P171" i="57" s="1"/>
  <c r="N161" i="57"/>
  <c r="G107" i="57"/>
  <c r="F107" i="57"/>
  <c r="E107" i="57"/>
  <c r="I106" i="57"/>
  <c r="H106" i="57"/>
  <c r="I110" i="57" s="1"/>
  <c r="G105" i="57"/>
  <c r="G111" i="57" s="1"/>
  <c r="K114" i="57" s="1"/>
  <c r="F105" i="57"/>
  <c r="E105" i="57"/>
  <c r="I104" i="57"/>
  <c r="H104" i="57"/>
  <c r="G104" i="57"/>
  <c r="F104" i="57"/>
  <c r="E104" i="57"/>
  <c r="I109" i="57" s="1"/>
  <c r="I96" i="57"/>
  <c r="H96" i="57"/>
  <c r="G96" i="57"/>
  <c r="F96" i="57"/>
  <c r="E96" i="57"/>
  <c r="I94" i="57"/>
  <c r="H94" i="57"/>
  <c r="G94" i="57"/>
  <c r="F94" i="57"/>
  <c r="E94" i="57"/>
  <c r="K93" i="57"/>
  <c r="I85" i="57"/>
  <c r="P59" i="57"/>
  <c r="K59" i="57"/>
  <c r="I79" i="57" s="1"/>
  <c r="K58" i="57"/>
  <c r="H79" i="57" s="1"/>
  <c r="K57" i="57"/>
  <c r="G79" i="57" s="1"/>
  <c r="K56" i="57"/>
  <c r="F79" i="57" s="1"/>
  <c r="K55" i="57"/>
  <c r="E79" i="57" s="1"/>
  <c r="E95" i="57" s="1"/>
  <c r="M16" i="57"/>
  <c r="I101" i="57" s="1"/>
  <c r="M14" i="57"/>
  <c r="L163" i="51"/>
  <c r="O162" i="51" s="1"/>
  <c r="P162" i="51" s="1"/>
  <c r="G157" i="51"/>
  <c r="N151" i="51"/>
  <c r="C148" i="51"/>
  <c r="C157" i="51" s="1"/>
  <c r="C139" i="51"/>
  <c r="G61" i="51"/>
  <c r="G63" i="51" s="1"/>
  <c r="G55" i="51"/>
  <c r="G56" i="51" s="1"/>
  <c r="I84" i="51" s="1"/>
  <c r="I114" i="51"/>
  <c r="P77" i="51"/>
  <c r="P76" i="51"/>
  <c r="P75" i="51"/>
  <c r="Q75" i="51" s="1"/>
  <c r="Y59" i="51"/>
  <c r="G110" i="51" s="1"/>
  <c r="Y58" i="51"/>
  <c r="F110" i="51" s="1"/>
  <c r="Y57" i="51"/>
  <c r="E110" i="51" s="1"/>
  <c r="V57" i="51"/>
  <c r="X48" i="51"/>
  <c r="V48" i="51"/>
  <c r="O59" i="51"/>
  <c r="N150" i="51" l="1"/>
  <c r="N156" i="51" s="1"/>
  <c r="O157" i="51" s="1"/>
  <c r="O160" i="51"/>
  <c r="P160" i="51" s="1"/>
  <c r="O161" i="51"/>
  <c r="P161" i="51" s="1"/>
  <c r="N83" i="60"/>
  <c r="N79" i="60"/>
  <c r="N81" i="60"/>
  <c r="N82" i="60"/>
  <c r="N80" i="60"/>
  <c r="O79" i="60"/>
  <c r="E112" i="60" s="1"/>
  <c r="O196" i="60"/>
  <c r="P196" i="60" s="1"/>
  <c r="N190" i="60"/>
  <c r="O191" i="60" s="1"/>
  <c r="N187" i="60"/>
  <c r="N184" i="60"/>
  <c r="G82" i="57"/>
  <c r="G95" i="57"/>
  <c r="H82" i="57"/>
  <c r="H95" i="57"/>
  <c r="I82" i="57"/>
  <c r="I95" i="57"/>
  <c r="F82" i="57"/>
  <c r="F95" i="57"/>
  <c r="O172" i="57"/>
  <c r="P172" i="57" s="1"/>
  <c r="I124" i="60"/>
  <c r="O194" i="60"/>
  <c r="P194" i="60" s="1"/>
  <c r="O195" i="60"/>
  <c r="P195" i="60" s="1"/>
  <c r="G178" i="62"/>
  <c r="G97" i="62"/>
  <c r="G98" i="62"/>
  <c r="R32" i="62"/>
  <c r="M33" i="62"/>
  <c r="G115" i="62" s="1"/>
  <c r="F98" i="62"/>
  <c r="F97" i="62"/>
  <c r="H186" i="62"/>
  <c r="I186" i="62" s="1"/>
  <c r="L32" i="62"/>
  <c r="H88" i="62"/>
  <c r="C169" i="62"/>
  <c r="Q34" i="62"/>
  <c r="Q33" i="62"/>
  <c r="Q32" i="62"/>
  <c r="S32" i="62" s="1"/>
  <c r="T32" i="62" s="1"/>
  <c r="M32" i="62"/>
  <c r="J162" i="62"/>
  <c r="G139" i="60"/>
  <c r="F139" i="60"/>
  <c r="H139" i="60"/>
  <c r="N160" i="57"/>
  <c r="E82" i="57"/>
  <c r="O170" i="57"/>
  <c r="P170" i="57" s="1"/>
  <c r="P173" i="57" s="1"/>
  <c r="M15" i="57"/>
  <c r="D120" i="57" s="1"/>
  <c r="D119" i="57" s="1"/>
  <c r="Q66" i="57" s="1"/>
  <c r="M13" i="58"/>
  <c r="R38" i="58"/>
  <c r="O28" i="58"/>
  <c r="N38" i="58"/>
  <c r="Z38" i="58"/>
  <c r="J38" i="58"/>
  <c r="W30" i="58"/>
  <c r="Y38" i="58"/>
  <c r="U38" i="58"/>
  <c r="Q38" i="58"/>
  <c r="M38" i="58"/>
  <c r="I38" i="58"/>
  <c r="AB38" i="58"/>
  <c r="X38" i="58"/>
  <c r="T38" i="58"/>
  <c r="P38" i="58"/>
  <c r="L38" i="58"/>
  <c r="H38" i="58"/>
  <c r="W38" i="58"/>
  <c r="O38" i="58"/>
  <c r="T11" i="58"/>
  <c r="P13" i="58"/>
  <c r="G29" i="58"/>
  <c r="I12" i="58"/>
  <c r="H13" i="58"/>
  <c r="Q13" i="58"/>
  <c r="O29" i="58"/>
  <c r="W34" i="58"/>
  <c r="O39" i="58"/>
  <c r="X13" i="58"/>
  <c r="Y12" i="58"/>
  <c r="Y13" i="58"/>
  <c r="O34" i="58"/>
  <c r="M12" i="58"/>
  <c r="I13" i="58"/>
  <c r="U13" i="58"/>
  <c r="G28" i="58"/>
  <c r="W39" i="58"/>
  <c r="K91" i="58"/>
  <c r="M91" i="58" s="1"/>
  <c r="F31" i="58"/>
  <c r="V31" i="58"/>
  <c r="X11" i="58"/>
  <c r="G31" i="58"/>
  <c r="W31" i="58"/>
  <c r="G10" i="58"/>
  <c r="L11" i="58"/>
  <c r="AB11" i="58"/>
  <c r="U12" i="58"/>
  <c r="L13" i="58"/>
  <c r="T13" i="58"/>
  <c r="AB13" i="58"/>
  <c r="J31" i="58"/>
  <c r="R31" i="58"/>
  <c r="Z31" i="58"/>
  <c r="F87" i="58"/>
  <c r="N31" i="58"/>
  <c r="H11" i="58"/>
  <c r="O31" i="58"/>
  <c r="P11" i="58"/>
  <c r="K31" i="58"/>
  <c r="S31" i="58"/>
  <c r="AA31" i="58"/>
  <c r="J11" i="58"/>
  <c r="J13" i="58"/>
  <c r="N11" i="58"/>
  <c r="N13" i="58"/>
  <c r="R11" i="58"/>
  <c r="R13" i="58"/>
  <c r="V11" i="58"/>
  <c r="V13" i="58"/>
  <c r="Z11" i="58"/>
  <c r="Z13" i="58"/>
  <c r="J12" i="58"/>
  <c r="R12" i="58"/>
  <c r="Z12" i="58"/>
  <c r="K13" i="58"/>
  <c r="K12" i="58"/>
  <c r="O13" i="58"/>
  <c r="O12" i="58"/>
  <c r="S13" i="58"/>
  <c r="S12" i="58"/>
  <c r="W13" i="58"/>
  <c r="W12" i="58"/>
  <c r="AA13" i="58"/>
  <c r="AA12" i="58"/>
  <c r="J10" i="58"/>
  <c r="R10" i="58"/>
  <c r="Z10" i="58"/>
  <c r="K11" i="58"/>
  <c r="S11" i="58"/>
  <c r="AA11" i="58"/>
  <c r="K10" i="58"/>
  <c r="S10" i="58"/>
  <c r="AA10" i="58"/>
  <c r="N12" i="58"/>
  <c r="V12" i="58"/>
  <c r="F34" i="58"/>
  <c r="F30" i="58"/>
  <c r="F29" i="58"/>
  <c r="F28" i="58"/>
  <c r="J30" i="58"/>
  <c r="J39" i="58"/>
  <c r="J34" i="58"/>
  <c r="J29" i="58"/>
  <c r="J28" i="58"/>
  <c r="N39" i="58"/>
  <c r="N34" i="58"/>
  <c r="N30" i="58"/>
  <c r="N29" i="58"/>
  <c r="N28" i="58"/>
  <c r="R39" i="58"/>
  <c r="R34" i="58"/>
  <c r="R29" i="58"/>
  <c r="R30" i="58"/>
  <c r="V39" i="58"/>
  <c r="V34" i="58"/>
  <c r="V30" i="58"/>
  <c r="V29" i="58"/>
  <c r="V28" i="58"/>
  <c r="Z30" i="58"/>
  <c r="Z39" i="58"/>
  <c r="Z34" i="58"/>
  <c r="Z29" i="58"/>
  <c r="Z28" i="58"/>
  <c r="F10" i="58"/>
  <c r="F14" i="58" s="1"/>
  <c r="N10" i="58"/>
  <c r="V10" i="58"/>
  <c r="G11" i="58"/>
  <c r="O11" i="58"/>
  <c r="W11" i="58"/>
  <c r="G38" i="58"/>
  <c r="K39" i="58"/>
  <c r="K34" i="58"/>
  <c r="K30" i="58"/>
  <c r="K29" i="58"/>
  <c r="K28" i="58"/>
  <c r="S39" i="58"/>
  <c r="S34" i="58"/>
  <c r="S30" i="58"/>
  <c r="S29" i="58"/>
  <c r="S28" i="58"/>
  <c r="R28" i="58"/>
  <c r="W29" i="58"/>
  <c r="G34" i="58"/>
  <c r="H10" i="58"/>
  <c r="L10" i="58"/>
  <c r="P10" i="58"/>
  <c r="T10" i="58"/>
  <c r="T14" i="58" s="1"/>
  <c r="X10" i="58"/>
  <c r="X14" i="58" s="1"/>
  <c r="AB10" i="58"/>
  <c r="I11" i="58"/>
  <c r="M11" i="58"/>
  <c r="Q11" i="58"/>
  <c r="Q14" i="58" s="1"/>
  <c r="U11" i="58"/>
  <c r="Y11" i="58"/>
  <c r="Y14" i="58" s="1"/>
  <c r="AA28" i="58"/>
  <c r="AA29" i="58"/>
  <c r="AA30" i="58"/>
  <c r="AA34" i="58"/>
  <c r="AA39" i="58"/>
  <c r="H28" i="58"/>
  <c r="L28" i="58"/>
  <c r="P28" i="58"/>
  <c r="T28" i="58"/>
  <c r="X28" i="58"/>
  <c r="AB28" i="58"/>
  <c r="H29" i="58"/>
  <c r="L29" i="58"/>
  <c r="P29" i="58"/>
  <c r="T29" i="58"/>
  <c r="X29" i="58"/>
  <c r="AB29" i="58"/>
  <c r="H30" i="58"/>
  <c r="L30" i="58"/>
  <c r="P30" i="58"/>
  <c r="T30" i="58"/>
  <c r="X30" i="58"/>
  <c r="AB30" i="58"/>
  <c r="H31" i="58"/>
  <c r="L31" i="58"/>
  <c r="P31" i="58"/>
  <c r="T31" i="58"/>
  <c r="X31" i="58"/>
  <c r="AB31" i="58"/>
  <c r="H34" i="58"/>
  <c r="L34" i="58"/>
  <c r="P34" i="58"/>
  <c r="T34" i="58"/>
  <c r="X34" i="58"/>
  <c r="AB34" i="58"/>
  <c r="E28" i="58"/>
  <c r="I28" i="58"/>
  <c r="M28" i="58"/>
  <c r="Q28" i="58"/>
  <c r="U28" i="58"/>
  <c r="Y28" i="58"/>
  <c r="E29" i="58"/>
  <c r="I29" i="58"/>
  <c r="M29" i="58"/>
  <c r="Q29" i="58"/>
  <c r="U29" i="58"/>
  <c r="Y29" i="58"/>
  <c r="E30" i="58"/>
  <c r="I30" i="58"/>
  <c r="M30" i="58"/>
  <c r="Q30" i="58"/>
  <c r="U30" i="58"/>
  <c r="Y30" i="58"/>
  <c r="E31" i="58"/>
  <c r="I31" i="58"/>
  <c r="M31" i="58"/>
  <c r="Q31" i="58"/>
  <c r="U31" i="58"/>
  <c r="Y31" i="58"/>
  <c r="I34" i="58"/>
  <c r="M34" i="58"/>
  <c r="Q34" i="58"/>
  <c r="U34" i="58"/>
  <c r="Y34" i="58"/>
  <c r="D125" i="57"/>
  <c r="I103" i="57"/>
  <c r="E103" i="57"/>
  <c r="F103" i="57"/>
  <c r="F116" i="57" s="1"/>
  <c r="H103" i="57"/>
  <c r="G103" i="57"/>
  <c r="O67" i="57"/>
  <c r="E89" i="57" s="1"/>
  <c r="N69" i="57"/>
  <c r="N68" i="57"/>
  <c r="N67" i="57"/>
  <c r="O151" i="51"/>
  <c r="N153" i="51"/>
  <c r="O154" i="51" s="1"/>
  <c r="P163" i="51"/>
  <c r="F157" i="51" s="1"/>
  <c r="C160" i="51" s="1"/>
  <c r="C137" i="51" s="1"/>
  <c r="V58" i="51"/>
  <c r="X58" i="51" s="1"/>
  <c r="F87" i="51" s="1"/>
  <c r="X57" i="51"/>
  <c r="E87" i="51" s="1"/>
  <c r="Q76" i="51"/>
  <c r="O188" i="60" l="1"/>
  <c r="V59" i="51"/>
  <c r="P197" i="60"/>
  <c r="C178" i="60" s="1"/>
  <c r="C171" i="60" s="1"/>
  <c r="O185" i="60"/>
  <c r="E92" i="57"/>
  <c r="E91" i="57"/>
  <c r="E93" i="57"/>
  <c r="E113" i="57" s="1"/>
  <c r="E114" i="57" s="1"/>
  <c r="E115" i="57" s="1"/>
  <c r="H91" i="57"/>
  <c r="H93" i="57" s="1"/>
  <c r="H92" i="57"/>
  <c r="F91" i="57"/>
  <c r="F93" i="57" s="1"/>
  <c r="F92" i="57"/>
  <c r="I91" i="57"/>
  <c r="I93" i="57" s="1"/>
  <c r="I92" i="57"/>
  <c r="G91" i="57"/>
  <c r="G93" i="57" s="1"/>
  <c r="G92" i="57"/>
  <c r="J170" i="62"/>
  <c r="J171" i="62"/>
  <c r="K162" i="62"/>
  <c r="E115" i="62"/>
  <c r="N32" i="62"/>
  <c r="K32" i="62"/>
  <c r="E96" i="62"/>
  <c r="E110" i="62" s="1"/>
  <c r="R33" i="62"/>
  <c r="S33" i="62" s="1"/>
  <c r="T33" i="62" s="1"/>
  <c r="H99" i="62"/>
  <c r="I88" i="62"/>
  <c r="H187" i="62"/>
  <c r="I187" i="62" s="1"/>
  <c r="D149" i="60"/>
  <c r="E139" i="60"/>
  <c r="N166" i="57"/>
  <c r="O167" i="57" s="1"/>
  <c r="N163" i="57"/>
  <c r="O164" i="57" s="1"/>
  <c r="O161" i="57"/>
  <c r="E18" i="58"/>
  <c r="E23" i="58" s="1"/>
  <c r="I14" i="58"/>
  <c r="P14" i="58"/>
  <c r="P16" i="58" s="1"/>
  <c r="G14" i="58"/>
  <c r="G17" i="58" s="1"/>
  <c r="U14" i="58"/>
  <c r="U16" i="58" s="1"/>
  <c r="L14" i="58"/>
  <c r="H14" i="58"/>
  <c r="H16" i="58" s="1"/>
  <c r="V14" i="58"/>
  <c r="V17" i="58" s="1"/>
  <c r="M14" i="58"/>
  <c r="M16" i="58" s="1"/>
  <c r="W14" i="58"/>
  <c r="W17" i="58" s="1"/>
  <c r="AB14" i="58"/>
  <c r="AB16" i="58" s="1"/>
  <c r="R14" i="58"/>
  <c r="R17" i="58" s="1"/>
  <c r="O14" i="58"/>
  <c r="O17" i="58" s="1"/>
  <c r="E53" i="58"/>
  <c r="E54" i="58" s="1"/>
  <c r="W16" i="58"/>
  <c r="Y17" i="58"/>
  <c r="Y16" i="58"/>
  <c r="I17" i="58"/>
  <c r="I16" i="58"/>
  <c r="Q17" i="58"/>
  <c r="Q16" i="58"/>
  <c r="X17" i="58"/>
  <c r="X16" i="58"/>
  <c r="U17" i="58"/>
  <c r="T17" i="58"/>
  <c r="T16" i="58"/>
  <c r="N14" i="58"/>
  <c r="AA14" i="58"/>
  <c r="J14" i="58"/>
  <c r="P17" i="58"/>
  <c r="F17" i="58"/>
  <c r="F16" i="58"/>
  <c r="S14" i="58"/>
  <c r="G16" i="58"/>
  <c r="AB17" i="58"/>
  <c r="L17" i="58"/>
  <c r="L16" i="58"/>
  <c r="K14" i="58"/>
  <c r="Z14" i="58"/>
  <c r="P67" i="57"/>
  <c r="E116" i="57"/>
  <c r="I108" i="57"/>
  <c r="W58" i="51"/>
  <c r="W57" i="51"/>
  <c r="Q77" i="51"/>
  <c r="X59" i="51"/>
  <c r="I114" i="57" l="1"/>
  <c r="I115" i="57" s="1"/>
  <c r="I125" i="57" s="1"/>
  <c r="H113" i="57"/>
  <c r="H114" i="57" s="1"/>
  <c r="H115" i="57" s="1"/>
  <c r="H125" i="57" s="1"/>
  <c r="J172" i="62"/>
  <c r="J173" i="62" s="1"/>
  <c r="R34" i="62"/>
  <c r="S34" i="62" s="1"/>
  <c r="T34" i="62" s="1"/>
  <c r="N33" i="62"/>
  <c r="L33" i="62"/>
  <c r="I99" i="62"/>
  <c r="H188" i="62"/>
  <c r="I188" i="62" s="1"/>
  <c r="K171" i="62"/>
  <c r="K172" i="62" s="1"/>
  <c r="K173" i="62" s="1"/>
  <c r="L162" i="62"/>
  <c r="K170" i="62"/>
  <c r="H98" i="62"/>
  <c r="H97" i="62"/>
  <c r="E111" i="62"/>
  <c r="E112" i="62" s="1"/>
  <c r="I139" i="60"/>
  <c r="E136" i="60"/>
  <c r="E137" i="60" s="1"/>
  <c r="Q67" i="57"/>
  <c r="E118" i="57"/>
  <c r="E125" i="57"/>
  <c r="H17" i="58"/>
  <c r="Q18" i="58"/>
  <c r="F18" i="58"/>
  <c r="F53" i="58" s="1"/>
  <c r="F54" i="58" s="1"/>
  <c r="X18" i="58"/>
  <c r="AB18" i="58"/>
  <c r="M17" i="58"/>
  <c r="M18" i="58" s="1"/>
  <c r="H18" i="58"/>
  <c r="G18" i="58"/>
  <c r="T18" i="58"/>
  <c r="V16" i="58"/>
  <c r="V18" i="58" s="1"/>
  <c r="R16" i="58"/>
  <c r="U18" i="58"/>
  <c r="O16" i="58"/>
  <c r="O18" i="58" s="1"/>
  <c r="P18" i="58"/>
  <c r="R18" i="58"/>
  <c r="Y18" i="58"/>
  <c r="L18" i="58"/>
  <c r="I18" i="58"/>
  <c r="W18" i="58"/>
  <c r="AA17" i="58"/>
  <c r="AA16" i="58"/>
  <c r="S17" i="58"/>
  <c r="S16" i="58"/>
  <c r="Z16" i="58"/>
  <c r="Z17" i="58"/>
  <c r="N17" i="58"/>
  <c r="N16" i="58"/>
  <c r="K17" i="58"/>
  <c r="K16" i="58"/>
  <c r="J16" i="58"/>
  <c r="J17" i="58"/>
  <c r="O68" i="57"/>
  <c r="W59" i="51"/>
  <c r="G87" i="51"/>
  <c r="P79" i="60" l="1"/>
  <c r="H110" i="62"/>
  <c r="H111" i="62"/>
  <c r="H112" i="62" s="1"/>
  <c r="F115" i="62"/>
  <c r="N34" i="62"/>
  <c r="L34" i="62"/>
  <c r="F96" i="62"/>
  <c r="F110" i="62" s="1"/>
  <c r="K33" i="62"/>
  <c r="L170" i="62"/>
  <c r="M162" i="62"/>
  <c r="L171" i="62"/>
  <c r="I98" i="62"/>
  <c r="I97" i="62"/>
  <c r="I110" i="62" s="1"/>
  <c r="E138" i="60"/>
  <c r="P68" i="57"/>
  <c r="F89" i="57"/>
  <c r="F113" i="57" s="1"/>
  <c r="F114" i="57" s="1"/>
  <c r="F115" i="57" s="1"/>
  <c r="V53" i="58"/>
  <c r="T53" i="58"/>
  <c r="W53" i="58"/>
  <c r="Q53" i="58"/>
  <c r="L53" i="58"/>
  <c r="N18" i="58"/>
  <c r="S18" i="58"/>
  <c r="K18" i="58"/>
  <c r="J18" i="58"/>
  <c r="Z18" i="58"/>
  <c r="AA18" i="58"/>
  <c r="Q79" i="60" l="1"/>
  <c r="O80" i="60" s="1"/>
  <c r="F112" i="60" s="1"/>
  <c r="E141" i="60"/>
  <c r="E149" i="60" s="1"/>
  <c r="F136" i="60"/>
  <c r="L172" i="62"/>
  <c r="L173" i="62" s="1"/>
  <c r="M170" i="62"/>
  <c r="N162" i="62"/>
  <c r="M171" i="62"/>
  <c r="M172" i="62" s="1"/>
  <c r="M173" i="62" s="1"/>
  <c r="K34" i="62"/>
  <c r="G96" i="62"/>
  <c r="G110" i="62" s="1"/>
  <c r="I111" i="62"/>
  <c r="I112" i="62" s="1"/>
  <c r="I120" i="62" s="1"/>
  <c r="F111" i="62"/>
  <c r="F112" i="62" s="1"/>
  <c r="Q68" i="57"/>
  <c r="O69" i="57" s="1"/>
  <c r="F118" i="57"/>
  <c r="F125" i="57" s="1"/>
  <c r="O53" i="58"/>
  <c r="P53" i="58"/>
  <c r="X53" i="58"/>
  <c r="U53" i="58"/>
  <c r="H53" i="58"/>
  <c r="R53" i="58"/>
  <c r="Y53" i="58"/>
  <c r="AB53" i="58"/>
  <c r="AA53" i="58"/>
  <c r="Z53" i="58"/>
  <c r="G53" i="58"/>
  <c r="G54" i="58" s="1"/>
  <c r="S53" i="58"/>
  <c r="I53" i="58"/>
  <c r="M53" i="58"/>
  <c r="F137" i="60" l="1"/>
  <c r="F138" i="60" s="1"/>
  <c r="P80" i="60"/>
  <c r="F141" i="60" s="1"/>
  <c r="G111" i="62"/>
  <c r="G112" i="62" s="1"/>
  <c r="N170" i="62"/>
  <c r="N171" i="62"/>
  <c r="N172" i="62" s="1"/>
  <c r="N173" i="62" s="1"/>
  <c r="O162" i="62"/>
  <c r="P69" i="57"/>
  <c r="G89" i="57"/>
  <c r="G114" i="57" s="1"/>
  <c r="G115" i="57" s="1"/>
  <c r="H54" i="58"/>
  <c r="I54" i="58" s="1"/>
  <c r="J53" i="58"/>
  <c r="K53" i="58"/>
  <c r="N53" i="58"/>
  <c r="F149" i="60" l="1"/>
  <c r="Q80" i="60"/>
  <c r="O81" i="60" s="1"/>
  <c r="G112" i="60" s="1"/>
  <c r="O171" i="62"/>
  <c r="O170" i="62"/>
  <c r="P162" i="62"/>
  <c r="Q69" i="57"/>
  <c r="G118" i="57"/>
  <c r="G125" i="57" s="1"/>
  <c r="J125" i="57" s="1"/>
  <c r="J54" i="58"/>
  <c r="K54" i="58" s="1"/>
  <c r="L54" i="58" s="1"/>
  <c r="M54" i="58" s="1"/>
  <c r="N54" i="58" s="1"/>
  <c r="O54" i="58" s="1"/>
  <c r="P54" i="58" s="1"/>
  <c r="Q54" i="58" s="1"/>
  <c r="R54" i="58" s="1"/>
  <c r="S54" i="58" s="1"/>
  <c r="T54" i="58" s="1"/>
  <c r="U54" i="58" s="1"/>
  <c r="V54" i="58" s="1"/>
  <c r="W54" i="58" s="1"/>
  <c r="X54" i="58" s="1"/>
  <c r="Y54" i="58" s="1"/>
  <c r="Z54" i="58" s="1"/>
  <c r="AA54" i="58" s="1"/>
  <c r="AB54" i="58" s="1"/>
  <c r="O172" i="62" l="1"/>
  <c r="O173" i="62" s="1"/>
  <c r="P170" i="62"/>
  <c r="Q162" i="62"/>
  <c r="P172" i="62"/>
  <c r="P173" i="62" s="1"/>
  <c r="P171" i="62"/>
  <c r="G136" i="60"/>
  <c r="G137" i="60" s="1"/>
  <c r="P81" i="60"/>
  <c r="G141" i="60" s="1"/>
  <c r="F60" i="58"/>
  <c r="J70" i="58" s="1"/>
  <c r="I71" i="58" s="1"/>
  <c r="J71" i="58" s="1"/>
  <c r="I72" i="58" s="1"/>
  <c r="J72" i="58" s="1"/>
  <c r="I73" i="58" s="1"/>
  <c r="Q170" i="62" l="1"/>
  <c r="R162" i="62"/>
  <c r="Q171" i="62"/>
  <c r="Q172" i="62" s="1"/>
  <c r="Q173" i="62" s="1"/>
  <c r="Q81" i="60"/>
  <c r="G138" i="60"/>
  <c r="J73" i="58"/>
  <c r="I74" i="58" s="1"/>
  <c r="O82" i="60" l="1"/>
  <c r="H112" i="60" s="1"/>
  <c r="H136" i="60" s="1"/>
  <c r="P82" i="60"/>
  <c r="H141" i="60" s="1"/>
  <c r="G149" i="60"/>
  <c r="R170" i="62"/>
  <c r="R171" i="62"/>
  <c r="R172" i="62" s="1"/>
  <c r="R173" i="62" s="1"/>
  <c r="S162" i="62"/>
  <c r="J74" i="58"/>
  <c r="I75" i="58" s="1"/>
  <c r="J75" i="58" s="1"/>
  <c r="Q82" i="60" l="1"/>
  <c r="O83" i="60" s="1"/>
  <c r="H137" i="60"/>
  <c r="H138" i="60" s="1"/>
  <c r="H149" i="60" s="1"/>
  <c r="S171" i="62"/>
  <c r="S170" i="62"/>
  <c r="S172" i="62" s="1"/>
  <c r="S173" i="62" s="1"/>
  <c r="T162" i="62"/>
  <c r="I112" i="60" l="1"/>
  <c r="I136" i="60" s="1"/>
  <c r="P83" i="60"/>
  <c r="T170" i="62"/>
  <c r="T171" i="62"/>
  <c r="T172" i="62"/>
  <c r="T173" i="62" s="1"/>
  <c r="Q83" i="60" l="1"/>
  <c r="I141" i="60"/>
  <c r="I137" i="60"/>
  <c r="I138" i="60" s="1"/>
  <c r="I149" i="60" s="1"/>
  <c r="J149" i="60" s="1"/>
  <c r="I180" i="62"/>
  <c r="I174" i="62"/>
  <c r="J114" i="62" s="1"/>
  <c r="K183" i="62" l="1"/>
  <c r="J184" i="62" s="1"/>
  <c r="D114" i="62"/>
  <c r="G124" i="62" l="1"/>
  <c r="D120" i="62"/>
  <c r="K184" i="62"/>
  <c r="E114" i="62" s="1"/>
  <c r="E120" i="62" s="1"/>
  <c r="J185" i="62" l="1"/>
  <c r="K185" i="62" l="1"/>
  <c r="F114" i="62" s="1"/>
  <c r="F120" i="62" l="1"/>
  <c r="J186" i="62"/>
  <c r="K186" i="62" l="1"/>
  <c r="G114" i="62" s="1"/>
  <c r="G120" i="62" l="1"/>
  <c r="J187" i="62"/>
  <c r="K187" i="62" l="1"/>
  <c r="H114" i="62" s="1"/>
  <c r="H120" i="62" l="1"/>
  <c r="J120" i="62" s="1"/>
  <c r="I119" i="62"/>
  <c r="J188" i="62"/>
  <c r="K188" i="62" s="1"/>
  <c r="B33" i="55" l="1"/>
  <c r="J30" i="55"/>
  <c r="R29" i="55"/>
  <c r="N27" i="55"/>
  <c r="J26" i="55" s="1"/>
  <c r="M30" i="55" s="1"/>
  <c r="P15" i="55"/>
  <c r="R15" i="55" s="1"/>
  <c r="T10" i="55"/>
  <c r="J10" i="55"/>
  <c r="N7" i="55"/>
  <c r="J6" i="55"/>
  <c r="M10" i="55" s="1"/>
  <c r="J93" i="54"/>
  <c r="G93" i="54"/>
  <c r="H93" i="54" s="1"/>
  <c r="J92" i="54"/>
  <c r="G92" i="54"/>
  <c r="H92" i="54" s="1"/>
  <c r="J91" i="54"/>
  <c r="H91" i="54"/>
  <c r="G91" i="54"/>
  <c r="J90" i="54"/>
  <c r="G90" i="54"/>
  <c r="H90" i="54" s="1"/>
  <c r="H89" i="54"/>
  <c r="J89" i="54" s="1"/>
  <c r="G89" i="54"/>
  <c r="F84" i="54"/>
  <c r="F83" i="54"/>
  <c r="F82" i="54"/>
  <c r="F85" i="54" s="1"/>
  <c r="H73" i="54"/>
  <c r="H72" i="54"/>
  <c r="H71" i="54"/>
  <c r="D71" i="54"/>
  <c r="H70" i="54"/>
  <c r="AB47" i="54"/>
  <c r="AA47" i="54"/>
  <c r="Z47" i="54"/>
  <c r="Y47" i="54"/>
  <c r="X47" i="54"/>
  <c r="W47" i="54"/>
  <c r="V47" i="54"/>
  <c r="U47" i="54"/>
  <c r="T47" i="54"/>
  <c r="S47" i="54"/>
  <c r="R47" i="54"/>
  <c r="Q47" i="54"/>
  <c r="P47" i="54"/>
  <c r="O47" i="54"/>
  <c r="N47" i="54"/>
  <c r="M47" i="54"/>
  <c r="L47" i="54"/>
  <c r="K47" i="54"/>
  <c r="J47" i="54"/>
  <c r="I47" i="54"/>
  <c r="H47" i="54"/>
  <c r="G47" i="54"/>
  <c r="F47" i="54"/>
  <c r="E47" i="54"/>
  <c r="AB45" i="54"/>
  <c r="AA45" i="54"/>
  <c r="Z45" i="54"/>
  <c r="Y45" i="54"/>
  <c r="X45" i="54"/>
  <c r="W45" i="54"/>
  <c r="V45" i="54"/>
  <c r="U45" i="54"/>
  <c r="T45" i="54"/>
  <c r="S45" i="54"/>
  <c r="R45" i="54"/>
  <c r="Q45" i="54"/>
  <c r="P45" i="54"/>
  <c r="O45" i="54"/>
  <c r="N45" i="54"/>
  <c r="M45" i="54"/>
  <c r="L45" i="54"/>
  <c r="K45" i="54"/>
  <c r="J45" i="54"/>
  <c r="I45" i="54"/>
  <c r="H45" i="54"/>
  <c r="G45" i="54"/>
  <c r="F45" i="54"/>
  <c r="E45" i="54"/>
  <c r="AB44" i="54"/>
  <c r="AA44" i="54"/>
  <c r="Z44" i="54"/>
  <c r="Y44" i="54"/>
  <c r="X44" i="54"/>
  <c r="W44" i="54"/>
  <c r="V44" i="54"/>
  <c r="U44" i="54"/>
  <c r="T44" i="54"/>
  <c r="S44" i="54"/>
  <c r="R44" i="54"/>
  <c r="Q44" i="54"/>
  <c r="P44" i="54"/>
  <c r="O44" i="54"/>
  <c r="N44" i="54"/>
  <c r="M44" i="54"/>
  <c r="L44" i="54"/>
  <c r="K44" i="54"/>
  <c r="J44" i="54"/>
  <c r="I44" i="54"/>
  <c r="H44" i="54"/>
  <c r="G44" i="54"/>
  <c r="F44" i="54"/>
  <c r="E44" i="54"/>
  <c r="AB43" i="54"/>
  <c r="AA43" i="54"/>
  <c r="Z43" i="54"/>
  <c r="Y43" i="54"/>
  <c r="X43" i="54"/>
  <c r="W43" i="54"/>
  <c r="V43" i="54"/>
  <c r="U43" i="54"/>
  <c r="T43" i="54"/>
  <c r="S43" i="54"/>
  <c r="R43" i="54"/>
  <c r="Q43" i="54"/>
  <c r="P43" i="54"/>
  <c r="O43" i="54"/>
  <c r="N43" i="54"/>
  <c r="M43" i="54"/>
  <c r="L43" i="54"/>
  <c r="K43" i="54"/>
  <c r="J43" i="54"/>
  <c r="I43" i="54"/>
  <c r="H43" i="54"/>
  <c r="G43" i="54"/>
  <c r="F43" i="54"/>
  <c r="E43" i="54"/>
  <c r="AB42" i="54"/>
  <c r="AA42" i="54"/>
  <c r="Z42" i="54"/>
  <c r="Y42" i="54"/>
  <c r="X42" i="54"/>
  <c r="W42" i="54"/>
  <c r="V42" i="54"/>
  <c r="U42" i="54"/>
  <c r="T42" i="54"/>
  <c r="S42" i="54"/>
  <c r="R42" i="54"/>
  <c r="Q42" i="54"/>
  <c r="P42" i="54"/>
  <c r="O42" i="54"/>
  <c r="N42" i="54"/>
  <c r="M42" i="54"/>
  <c r="L42" i="54"/>
  <c r="K42" i="54"/>
  <c r="J42" i="54"/>
  <c r="I42" i="54"/>
  <c r="H42" i="54"/>
  <c r="G42" i="54"/>
  <c r="F42" i="54"/>
  <c r="AB41" i="54"/>
  <c r="AA41" i="54"/>
  <c r="Z41" i="54"/>
  <c r="Y41" i="54"/>
  <c r="X41" i="54"/>
  <c r="W41" i="54"/>
  <c r="V41" i="54"/>
  <c r="U41" i="54"/>
  <c r="T41" i="54"/>
  <c r="S41" i="54"/>
  <c r="R41" i="54"/>
  <c r="Q41" i="54"/>
  <c r="P41" i="54"/>
  <c r="O41" i="54"/>
  <c r="N41" i="54"/>
  <c r="M41" i="54"/>
  <c r="L41" i="54"/>
  <c r="K41" i="54"/>
  <c r="J41" i="54"/>
  <c r="I41" i="54"/>
  <c r="H41" i="54"/>
  <c r="G41" i="54"/>
  <c r="F41" i="54"/>
  <c r="E41" i="54"/>
  <c r="V37" i="54"/>
  <c r="R37" i="54"/>
  <c r="C36" i="54"/>
  <c r="V35" i="54"/>
  <c r="R35" i="54"/>
  <c r="F35" i="54"/>
  <c r="C35" i="54"/>
  <c r="Y35" i="54" s="1"/>
  <c r="R34" i="54"/>
  <c r="N34" i="54"/>
  <c r="Z31" i="54"/>
  <c r="V31" i="54"/>
  <c r="R31" i="54"/>
  <c r="N31" i="54"/>
  <c r="J31" i="54"/>
  <c r="F31" i="54"/>
  <c r="R30" i="54"/>
  <c r="N30" i="54"/>
  <c r="Z29" i="54"/>
  <c r="V29" i="54"/>
  <c r="J29" i="54"/>
  <c r="F29" i="54"/>
  <c r="R28" i="54"/>
  <c r="N28" i="54"/>
  <c r="AB25" i="54"/>
  <c r="AB37" i="54" s="1"/>
  <c r="AA25" i="54"/>
  <c r="AA36" i="54" s="1"/>
  <c r="Z25" i="54"/>
  <c r="Z34" i="54" s="1"/>
  <c r="Y25" i="54"/>
  <c r="Y37" i="54" s="1"/>
  <c r="X25" i="54"/>
  <c r="X37" i="54" s="1"/>
  <c r="W25" i="54"/>
  <c r="V25" i="54"/>
  <c r="V34" i="54" s="1"/>
  <c r="U25" i="54"/>
  <c r="U37" i="54" s="1"/>
  <c r="T25" i="54"/>
  <c r="T37" i="54" s="1"/>
  <c r="S25" i="54"/>
  <c r="R25" i="54"/>
  <c r="R29" i="54" s="1"/>
  <c r="Q25" i="54"/>
  <c r="Q37" i="54" s="1"/>
  <c r="P25" i="54"/>
  <c r="P37" i="54" s="1"/>
  <c r="O25" i="54"/>
  <c r="N25" i="54"/>
  <c r="N37" i="54" s="1"/>
  <c r="M25" i="54"/>
  <c r="M37" i="54" s="1"/>
  <c r="L25" i="54"/>
  <c r="L37" i="54" s="1"/>
  <c r="K25" i="54"/>
  <c r="K36" i="54" s="1"/>
  <c r="J25" i="54"/>
  <c r="J34" i="54" s="1"/>
  <c r="I25" i="54"/>
  <c r="I37" i="54" s="1"/>
  <c r="H25" i="54"/>
  <c r="H37" i="54" s="1"/>
  <c r="G25" i="54"/>
  <c r="F25" i="54"/>
  <c r="F34" i="54" s="1"/>
  <c r="E25" i="54"/>
  <c r="E34" i="54" s="1"/>
  <c r="C14" i="54"/>
  <c r="AB13" i="54"/>
  <c r="Y13" i="54"/>
  <c r="X13" i="54"/>
  <c r="U13" i="54"/>
  <c r="T13" i="54"/>
  <c r="Q13" i="54"/>
  <c r="P13" i="54"/>
  <c r="M13" i="54"/>
  <c r="L13" i="54"/>
  <c r="I13" i="54"/>
  <c r="H13" i="54"/>
  <c r="Y12" i="54"/>
  <c r="U12" i="54"/>
  <c r="Q12" i="54"/>
  <c r="M12" i="54"/>
  <c r="I12" i="54"/>
  <c r="AB11" i="54"/>
  <c r="AA11" i="54"/>
  <c r="X11" i="54"/>
  <c r="W11" i="54"/>
  <c r="T11" i="54"/>
  <c r="S11" i="54"/>
  <c r="P11" i="54"/>
  <c r="O11" i="54"/>
  <c r="L11" i="54"/>
  <c r="K11" i="54"/>
  <c r="H11" i="54"/>
  <c r="G11" i="54"/>
  <c r="V10" i="54"/>
  <c r="R10" i="54"/>
  <c r="N10" i="54"/>
  <c r="F10" i="54"/>
  <c r="F14" i="54" s="1"/>
  <c r="AB7" i="54"/>
  <c r="AB12" i="54" s="1"/>
  <c r="AA7" i="54"/>
  <c r="AA13" i="54" s="1"/>
  <c r="Z7" i="54"/>
  <c r="Y7" i="54"/>
  <c r="Y10" i="54" s="1"/>
  <c r="X7" i="54"/>
  <c r="X12" i="54" s="1"/>
  <c r="W7" i="54"/>
  <c r="W13" i="54" s="1"/>
  <c r="V7" i="54"/>
  <c r="U7" i="54"/>
  <c r="U10" i="54" s="1"/>
  <c r="T7" i="54"/>
  <c r="T12" i="54" s="1"/>
  <c r="S7" i="54"/>
  <c r="S13" i="54" s="1"/>
  <c r="R7" i="54"/>
  <c r="Q7" i="54"/>
  <c r="Q10" i="54" s="1"/>
  <c r="P7" i="54"/>
  <c r="P12" i="54" s="1"/>
  <c r="O7" i="54"/>
  <c r="O13" i="54" s="1"/>
  <c r="N7" i="54"/>
  <c r="M7" i="54"/>
  <c r="M10" i="54" s="1"/>
  <c r="L7" i="54"/>
  <c r="L12" i="54" s="1"/>
  <c r="K7" i="54"/>
  <c r="K13" i="54" s="1"/>
  <c r="J7" i="54"/>
  <c r="I7" i="54"/>
  <c r="I10" i="54" s="1"/>
  <c r="H7" i="54"/>
  <c r="H12" i="54" s="1"/>
  <c r="G7" i="54"/>
  <c r="G12" i="54" s="1"/>
  <c r="F7" i="54"/>
  <c r="F11" i="54" s="1"/>
  <c r="E7" i="54"/>
  <c r="E10" i="54" s="1"/>
  <c r="E14" i="54" s="1"/>
  <c r="I131" i="52"/>
  <c r="C156" i="52"/>
  <c r="F108" i="52"/>
  <c r="G108" i="52"/>
  <c r="H108" i="52"/>
  <c r="I108" i="52"/>
  <c r="D230" i="52"/>
  <c r="L229" i="52"/>
  <c r="H227" i="52"/>
  <c r="D226" i="52" s="1"/>
  <c r="G230" i="52" s="1"/>
  <c r="J215" i="52"/>
  <c r="L215" i="52" s="1"/>
  <c r="N210" i="52"/>
  <c r="D210" i="52"/>
  <c r="H207" i="52"/>
  <c r="D206" i="52" s="1"/>
  <c r="G210" i="52" s="1"/>
  <c r="P69" i="52"/>
  <c r="H98" i="52"/>
  <c r="I98" i="52"/>
  <c r="G98" i="52"/>
  <c r="E108" i="52"/>
  <c r="P73" i="52"/>
  <c r="M73" i="52"/>
  <c r="N73" i="52" s="1"/>
  <c r="P72" i="52"/>
  <c r="M72" i="52"/>
  <c r="P71" i="52"/>
  <c r="M71" i="52"/>
  <c r="P70" i="52"/>
  <c r="M70" i="52"/>
  <c r="M69" i="52"/>
  <c r="F115" i="52"/>
  <c r="G115" i="52"/>
  <c r="H115" i="52"/>
  <c r="I115" i="52"/>
  <c r="F114" i="52"/>
  <c r="G114" i="52"/>
  <c r="H114" i="52"/>
  <c r="I114" i="52"/>
  <c r="E115" i="52"/>
  <c r="E114" i="52"/>
  <c r="I102" i="52"/>
  <c r="I101" i="52"/>
  <c r="I100" i="52"/>
  <c r="C167" i="49"/>
  <c r="C166" i="49" s="1"/>
  <c r="C163" i="49"/>
  <c r="C158" i="49"/>
  <c r="I113" i="52"/>
  <c r="H113" i="52"/>
  <c r="G113" i="52"/>
  <c r="F113" i="52"/>
  <c r="E113" i="52"/>
  <c r="I117" i="52" l="1"/>
  <c r="F122" i="52"/>
  <c r="E210" i="52"/>
  <c r="E104" i="52" s="1"/>
  <c r="I118" i="52"/>
  <c r="I122" i="52" s="1"/>
  <c r="E230" i="52"/>
  <c r="C169" i="49"/>
  <c r="M31" i="55"/>
  <c r="K30" i="55"/>
  <c r="L30" i="55" s="1"/>
  <c r="M11" i="55"/>
  <c r="K10" i="55"/>
  <c r="L10" i="55" s="1"/>
  <c r="E17" i="54"/>
  <c r="E16" i="54"/>
  <c r="E18" i="54" s="1"/>
  <c r="E23" i="54" s="1"/>
  <c r="E51" i="54" s="1"/>
  <c r="E52" i="54" s="1"/>
  <c r="F16" i="54"/>
  <c r="F17" i="54"/>
  <c r="F18" i="54" s="1"/>
  <c r="F23" i="54" s="1"/>
  <c r="F51" i="54" s="1"/>
  <c r="J11" i="54"/>
  <c r="J12" i="54"/>
  <c r="J13" i="54"/>
  <c r="N11" i="54"/>
  <c r="N12" i="54"/>
  <c r="N13" i="54"/>
  <c r="R11" i="54"/>
  <c r="R14" i="54" s="1"/>
  <c r="R13" i="54"/>
  <c r="R12" i="54"/>
  <c r="V11" i="54"/>
  <c r="V14" i="54" s="1"/>
  <c r="V12" i="54"/>
  <c r="V13" i="54"/>
  <c r="Z11" i="54"/>
  <c r="Z13" i="54"/>
  <c r="Z12" i="54"/>
  <c r="J10" i="54"/>
  <c r="Z10" i="54"/>
  <c r="N14" i="54"/>
  <c r="G34" i="54"/>
  <c r="G30" i="54"/>
  <c r="G29" i="54"/>
  <c r="G28" i="54"/>
  <c r="O37" i="54"/>
  <c r="O34" i="54"/>
  <c r="O30" i="54"/>
  <c r="O29" i="54"/>
  <c r="O28" i="54"/>
  <c r="W37" i="54"/>
  <c r="W34" i="54"/>
  <c r="W30" i="54"/>
  <c r="W29" i="54"/>
  <c r="W28" i="54"/>
  <c r="G36" i="54"/>
  <c r="W36" i="54"/>
  <c r="G10" i="54"/>
  <c r="G14" i="54" s="1"/>
  <c r="S10" i="54"/>
  <c r="W10" i="54"/>
  <c r="H10" i="54"/>
  <c r="H14" i="54" s="1"/>
  <c r="L10" i="54"/>
  <c r="L14" i="54" s="1"/>
  <c r="P10" i="54"/>
  <c r="P14" i="54" s="1"/>
  <c r="T10" i="54"/>
  <c r="T14" i="54" s="1"/>
  <c r="X10" i="54"/>
  <c r="X14" i="54" s="1"/>
  <c r="AB10" i="54"/>
  <c r="AB14" i="54" s="1"/>
  <c r="I11" i="54"/>
  <c r="I14" i="54" s="1"/>
  <c r="M11" i="54"/>
  <c r="M14" i="54" s="1"/>
  <c r="Q11" i="54"/>
  <c r="Q14" i="54" s="1"/>
  <c r="U11" i="54"/>
  <c r="U14" i="54" s="1"/>
  <c r="Y11" i="54"/>
  <c r="Y14" i="54" s="1"/>
  <c r="K12" i="54"/>
  <c r="O12" i="54"/>
  <c r="S12" i="54"/>
  <c r="W12" i="54"/>
  <c r="AA12" i="54"/>
  <c r="F28" i="54"/>
  <c r="V28" i="54"/>
  <c r="N29" i="54"/>
  <c r="F30" i="54"/>
  <c r="V30" i="54"/>
  <c r="J35" i="54"/>
  <c r="Z35" i="54"/>
  <c r="O36" i="54"/>
  <c r="J37" i="54"/>
  <c r="Z37" i="54"/>
  <c r="K89" i="54"/>
  <c r="M89" i="54" s="1"/>
  <c r="K37" i="54"/>
  <c r="K34" i="54"/>
  <c r="K30" i="54"/>
  <c r="K29" i="54"/>
  <c r="K28" i="54"/>
  <c r="S37" i="54"/>
  <c r="S34" i="54"/>
  <c r="S30" i="54"/>
  <c r="S29" i="54"/>
  <c r="S28" i="54"/>
  <c r="AA37" i="54"/>
  <c r="AA34" i="54"/>
  <c r="AA30" i="54"/>
  <c r="AA29" i="54"/>
  <c r="AA28" i="54"/>
  <c r="K10" i="54"/>
  <c r="K14" i="54" s="1"/>
  <c r="O10" i="54"/>
  <c r="O14" i="54" s="1"/>
  <c r="AA10" i="54"/>
  <c r="AA14" i="54" s="1"/>
  <c r="J28" i="54"/>
  <c r="Z28" i="54"/>
  <c r="J30" i="54"/>
  <c r="Z30" i="54"/>
  <c r="N35" i="54"/>
  <c r="Z36" i="54"/>
  <c r="S36" i="54"/>
  <c r="G31" i="54"/>
  <c r="K31" i="54"/>
  <c r="O31" i="54"/>
  <c r="S31" i="54"/>
  <c r="W31" i="54"/>
  <c r="AA31" i="54"/>
  <c r="G35" i="54"/>
  <c r="K35" i="54"/>
  <c r="O35" i="54"/>
  <c r="S35" i="54"/>
  <c r="W35" i="54"/>
  <c r="AA35" i="54"/>
  <c r="H36" i="54"/>
  <c r="L36" i="54"/>
  <c r="P36" i="54"/>
  <c r="T36" i="54"/>
  <c r="X36" i="54"/>
  <c r="AB36" i="54"/>
  <c r="H28" i="54"/>
  <c r="L28" i="54"/>
  <c r="P28" i="54"/>
  <c r="T28" i="54"/>
  <c r="X28" i="54"/>
  <c r="AB28" i="54"/>
  <c r="H29" i="54"/>
  <c r="L29" i="54"/>
  <c r="P29" i="54"/>
  <c r="T29" i="54"/>
  <c r="X29" i="54"/>
  <c r="AB29" i="54"/>
  <c r="H30" i="54"/>
  <c r="L30" i="54"/>
  <c r="P30" i="54"/>
  <c r="T30" i="54"/>
  <c r="X30" i="54"/>
  <c r="AB30" i="54"/>
  <c r="H31" i="54"/>
  <c r="L31" i="54"/>
  <c r="P31" i="54"/>
  <c r="T31" i="54"/>
  <c r="X31" i="54"/>
  <c r="AB31" i="54"/>
  <c r="H34" i="54"/>
  <c r="L34" i="54"/>
  <c r="P34" i="54"/>
  <c r="T34" i="54"/>
  <c r="X34" i="54"/>
  <c r="AB34" i="54"/>
  <c r="H35" i="54"/>
  <c r="L35" i="54"/>
  <c r="P35" i="54"/>
  <c r="T35" i="54"/>
  <c r="X35" i="54"/>
  <c r="AB35" i="54"/>
  <c r="I36" i="54"/>
  <c r="M36" i="54"/>
  <c r="Q36" i="54"/>
  <c r="U36" i="54"/>
  <c r="Y36" i="54"/>
  <c r="E28" i="54"/>
  <c r="I28" i="54"/>
  <c r="M28" i="54"/>
  <c r="Q28" i="54"/>
  <c r="U28" i="54"/>
  <c r="Y28" i="54"/>
  <c r="E29" i="54"/>
  <c r="I29" i="54"/>
  <c r="M29" i="54"/>
  <c r="Q29" i="54"/>
  <c r="U29" i="54"/>
  <c r="Y29" i="54"/>
  <c r="E30" i="54"/>
  <c r="I30" i="54"/>
  <c r="M30" i="54"/>
  <c r="Q30" i="54"/>
  <c r="U30" i="54"/>
  <c r="Y30" i="54"/>
  <c r="E31" i="54"/>
  <c r="I31" i="54"/>
  <c r="M31" i="54"/>
  <c r="Q31" i="54"/>
  <c r="U31" i="54"/>
  <c r="Y31" i="54"/>
  <c r="I34" i="54"/>
  <c r="M34" i="54"/>
  <c r="Q34" i="54"/>
  <c r="U34" i="54"/>
  <c r="Y34" i="54"/>
  <c r="I35" i="54"/>
  <c r="M35" i="54"/>
  <c r="Q35" i="54"/>
  <c r="U35" i="54"/>
  <c r="J36" i="54"/>
  <c r="N36" i="54"/>
  <c r="R36" i="54"/>
  <c r="V36" i="54"/>
  <c r="G211" i="52"/>
  <c r="G231" i="52"/>
  <c r="F230" i="52"/>
  <c r="H230" i="52" s="1"/>
  <c r="D231" i="52" s="1"/>
  <c r="E231" i="52" s="1"/>
  <c r="Q69" i="52"/>
  <c r="S69" i="52" s="1"/>
  <c r="E122" i="52"/>
  <c r="G122" i="52"/>
  <c r="C154" i="52"/>
  <c r="H122" i="52"/>
  <c r="M21" i="49"/>
  <c r="K23" i="49" s="1"/>
  <c r="F70" i="42"/>
  <c r="Q33" i="49" l="1"/>
  <c r="Q32" i="49"/>
  <c r="R32" i="49"/>
  <c r="Q34" i="49"/>
  <c r="N10" i="55"/>
  <c r="J11" i="55" s="1"/>
  <c r="N30" i="55"/>
  <c r="J31" i="55" s="1"/>
  <c r="M12" i="55"/>
  <c r="M32" i="55"/>
  <c r="Y17" i="54"/>
  <c r="Y16" i="54"/>
  <c r="Y18" i="54" s="1"/>
  <c r="Y23" i="54" s="1"/>
  <c r="Y51" i="54" s="1"/>
  <c r="U18" i="54"/>
  <c r="U23" i="54" s="1"/>
  <c r="U51" i="54" s="1"/>
  <c r="U17" i="54"/>
  <c r="U16" i="54"/>
  <c r="R16" i="54"/>
  <c r="R18" i="54"/>
  <c r="R23" i="54" s="1"/>
  <c r="R51" i="54" s="1"/>
  <c r="R17" i="54"/>
  <c r="Q17" i="54"/>
  <c r="Q16" i="54"/>
  <c r="Q18" i="54" s="1"/>
  <c r="Q23" i="54" s="1"/>
  <c r="Q51" i="54" s="1"/>
  <c r="V17" i="54"/>
  <c r="V16" i="54"/>
  <c r="V18" i="54" s="1"/>
  <c r="V23" i="54" s="1"/>
  <c r="V51" i="54" s="1"/>
  <c r="F52" i="54"/>
  <c r="I17" i="54"/>
  <c r="I16" i="54"/>
  <c r="I18" i="54" s="1"/>
  <c r="I23" i="54" s="1"/>
  <c r="I51" i="54" s="1"/>
  <c r="M17" i="54"/>
  <c r="M16" i="54"/>
  <c r="M18" i="54" s="1"/>
  <c r="M23" i="54" s="1"/>
  <c r="M51" i="54" s="1"/>
  <c r="G18" i="54"/>
  <c r="G23" i="54" s="1"/>
  <c r="G51" i="54" s="1"/>
  <c r="G17" i="54"/>
  <c r="G16" i="54"/>
  <c r="AA17" i="54"/>
  <c r="AA16" i="54"/>
  <c r="AA18" i="54" s="1"/>
  <c r="AA23" i="54" s="1"/>
  <c r="AA51" i="54" s="1"/>
  <c r="X17" i="54"/>
  <c r="X16" i="54"/>
  <c r="X18" i="54" s="1"/>
  <c r="X23" i="54" s="1"/>
  <c r="X51" i="54" s="1"/>
  <c r="H18" i="54"/>
  <c r="H23" i="54" s="1"/>
  <c r="H51" i="54" s="1"/>
  <c r="H17" i="54"/>
  <c r="H16" i="54"/>
  <c r="N16" i="54"/>
  <c r="N18" i="54" s="1"/>
  <c r="N23" i="54" s="1"/>
  <c r="N51" i="54" s="1"/>
  <c r="N17" i="54"/>
  <c r="AB17" i="54"/>
  <c r="AB16" i="54"/>
  <c r="AB18" i="54" s="1"/>
  <c r="AB23" i="54" s="1"/>
  <c r="AB51" i="54" s="1"/>
  <c r="L17" i="54"/>
  <c r="L16" i="54"/>
  <c r="L18" i="54" s="1"/>
  <c r="L23" i="54" s="1"/>
  <c r="L51" i="54" s="1"/>
  <c r="O18" i="54"/>
  <c r="O23" i="54" s="1"/>
  <c r="O51" i="54" s="1"/>
  <c r="O17" i="54"/>
  <c r="O16" i="54"/>
  <c r="T18" i="54"/>
  <c r="T23" i="54" s="1"/>
  <c r="T51" i="54" s="1"/>
  <c r="T17" i="54"/>
  <c r="T16" i="54"/>
  <c r="W14" i="54"/>
  <c r="Z14" i="54"/>
  <c r="K18" i="54"/>
  <c r="K23" i="54" s="1"/>
  <c r="K51" i="54" s="1"/>
  <c r="K17" i="54"/>
  <c r="K16" i="54"/>
  <c r="P18" i="54"/>
  <c r="P23" i="54" s="1"/>
  <c r="P51" i="54" s="1"/>
  <c r="P17" i="54"/>
  <c r="P16" i="54"/>
  <c r="S14" i="54"/>
  <c r="J14" i="54"/>
  <c r="F107" i="52"/>
  <c r="E107" i="52"/>
  <c r="E119" i="52" s="1"/>
  <c r="I107" i="52"/>
  <c r="G107" i="52"/>
  <c r="H107" i="52"/>
  <c r="G212" i="52"/>
  <c r="F210" i="52"/>
  <c r="E124" i="52" s="1"/>
  <c r="F231" i="52"/>
  <c r="H231" i="52" s="1"/>
  <c r="D232" i="52" s="1"/>
  <c r="E232" i="52" s="1"/>
  <c r="G232" i="52"/>
  <c r="S32" i="49" l="1"/>
  <c r="T32" i="49" s="1"/>
  <c r="R33" i="49" s="1"/>
  <c r="S33" i="49" s="1"/>
  <c r="T33" i="49" s="1"/>
  <c r="K31" i="55"/>
  <c r="M33" i="55"/>
  <c r="M13" i="55"/>
  <c r="M20" i="55"/>
  <c r="K11" i="55"/>
  <c r="Z17" i="54"/>
  <c r="Z16" i="54"/>
  <c r="Z18" i="54" s="1"/>
  <c r="Z23" i="54" s="1"/>
  <c r="Z51" i="54" s="1"/>
  <c r="S17" i="54"/>
  <c r="S18" i="54" s="1"/>
  <c r="S23" i="54" s="1"/>
  <c r="S51" i="54" s="1"/>
  <c r="S16" i="54"/>
  <c r="W17" i="54"/>
  <c r="W16" i="54"/>
  <c r="W18" i="54" s="1"/>
  <c r="W23" i="54" s="1"/>
  <c r="W51" i="54" s="1"/>
  <c r="J16" i="54"/>
  <c r="J17" i="54"/>
  <c r="J18" i="54" s="1"/>
  <c r="J23" i="54" s="1"/>
  <c r="J51" i="54" s="1"/>
  <c r="G52" i="54"/>
  <c r="H52" i="54" s="1"/>
  <c r="I52" i="54" s="1"/>
  <c r="G213" i="52"/>
  <c r="G220" i="52" s="1"/>
  <c r="H210" i="52"/>
  <c r="D211" i="52" s="1"/>
  <c r="E211" i="52" s="1"/>
  <c r="F104" i="52" s="1"/>
  <c r="F119" i="52" s="1"/>
  <c r="F120" i="52" s="1"/>
  <c r="F121" i="52" s="1"/>
  <c r="F232" i="52"/>
  <c r="F240" i="52" s="1"/>
  <c r="G233" i="52"/>
  <c r="E240" i="52"/>
  <c r="E120" i="52"/>
  <c r="E121" i="52" s="1"/>
  <c r="E132" i="52" s="1"/>
  <c r="R34" i="49"/>
  <c r="S34" i="49" s="1"/>
  <c r="T34" i="49" s="1"/>
  <c r="L11" i="55" l="1"/>
  <c r="M34" i="55"/>
  <c r="M40" i="55"/>
  <c r="L31" i="55"/>
  <c r="M14" i="55"/>
  <c r="J52" i="54"/>
  <c r="K52" i="54" s="1"/>
  <c r="L52" i="54" s="1"/>
  <c r="M52" i="54" s="1"/>
  <c r="N52" i="54" s="1"/>
  <c r="O52" i="54" s="1"/>
  <c r="P52" i="54" s="1"/>
  <c r="Q52" i="54" s="1"/>
  <c r="R52" i="54" s="1"/>
  <c r="S52" i="54" s="1"/>
  <c r="T52" i="54" s="1"/>
  <c r="U52" i="54" s="1"/>
  <c r="V52" i="54" s="1"/>
  <c r="W52" i="54" s="1"/>
  <c r="X52" i="54" s="1"/>
  <c r="Y52" i="54" s="1"/>
  <c r="Z52" i="54" s="1"/>
  <c r="AA52" i="54" s="1"/>
  <c r="AB52" i="54" s="1"/>
  <c r="F58" i="54"/>
  <c r="J68" i="54" s="1"/>
  <c r="I69" i="54" s="1"/>
  <c r="H232" i="52"/>
  <c r="D233" i="52" s="1"/>
  <c r="E233" i="52" s="1"/>
  <c r="G234" i="52"/>
  <c r="G240" i="52"/>
  <c r="G214" i="52"/>
  <c r="M15" i="55" l="1"/>
  <c r="N31" i="55"/>
  <c r="J32" i="55" s="1"/>
  <c r="M35" i="55"/>
  <c r="N11" i="55"/>
  <c r="J12" i="55" s="1"/>
  <c r="J69" i="54"/>
  <c r="I70" i="54" s="1"/>
  <c r="G215" i="52"/>
  <c r="F233" i="52"/>
  <c r="H233" i="52"/>
  <c r="D234" i="52" s="1"/>
  <c r="E234" i="52" s="1"/>
  <c r="G235" i="52"/>
  <c r="F211" i="52"/>
  <c r="F124" i="52" s="1"/>
  <c r="F132" i="52" s="1"/>
  <c r="K32" i="55" l="1"/>
  <c r="K12" i="55"/>
  <c r="M16" i="55"/>
  <c r="M36" i="55"/>
  <c r="J70" i="54"/>
  <c r="I71" i="54" s="1"/>
  <c r="F234" i="52"/>
  <c r="H234" i="52" s="1"/>
  <c r="D235" i="52" s="1"/>
  <c r="E235" i="52" s="1"/>
  <c r="H211" i="52"/>
  <c r="D212" i="52" s="1"/>
  <c r="E212" i="52" s="1"/>
  <c r="G104" i="52" s="1"/>
  <c r="G119" i="52" s="1"/>
  <c r="G120" i="52" s="1"/>
  <c r="G121" i="52" s="1"/>
  <c r="G216" i="52"/>
  <c r="G236" i="52"/>
  <c r="L12" i="55" l="1"/>
  <c r="K20" i="55"/>
  <c r="M37" i="55"/>
  <c r="M17" i="55"/>
  <c r="L32" i="55"/>
  <c r="K40" i="55"/>
  <c r="J71" i="54"/>
  <c r="I72" i="54" s="1"/>
  <c r="F235" i="52"/>
  <c r="H235" i="52" s="1"/>
  <c r="D236" i="52" s="1"/>
  <c r="E236" i="52" s="1"/>
  <c r="G237" i="52"/>
  <c r="G217" i="52"/>
  <c r="M38" i="55" l="1"/>
  <c r="L40" i="55"/>
  <c r="N32" i="55"/>
  <c r="J33" i="55" s="1"/>
  <c r="M18" i="55"/>
  <c r="L20" i="55"/>
  <c r="N12" i="55"/>
  <c r="J13" i="55" s="1"/>
  <c r="J72" i="54"/>
  <c r="I73" i="54" s="1"/>
  <c r="J73" i="54" s="1"/>
  <c r="G238" i="52"/>
  <c r="G218" i="52"/>
  <c r="F212" i="52"/>
  <c r="G124" i="52" s="1"/>
  <c r="G132" i="52" s="1"/>
  <c r="E220" i="52"/>
  <c r="F236" i="52"/>
  <c r="H236" i="52" s="1"/>
  <c r="D237" i="52" s="1"/>
  <c r="E237" i="52" s="1"/>
  <c r="K33" i="55" l="1"/>
  <c r="L33" i="55" s="1"/>
  <c r="N33" i="55" s="1"/>
  <c r="J34" i="55" s="1"/>
  <c r="K13" i="55"/>
  <c r="L13" i="55" s="1"/>
  <c r="N13" i="55" s="1"/>
  <c r="J14" i="55" s="1"/>
  <c r="M19" i="55"/>
  <c r="M39" i="55"/>
  <c r="F237" i="52"/>
  <c r="H237" i="52" s="1"/>
  <c r="D238" i="52" s="1"/>
  <c r="E238" i="52" s="1"/>
  <c r="G219" i="52"/>
  <c r="F220" i="52"/>
  <c r="H212" i="52"/>
  <c r="D213" i="52" s="1"/>
  <c r="E213" i="52" s="1"/>
  <c r="H104" i="52" s="1"/>
  <c r="H119" i="52" s="1"/>
  <c r="H120" i="52" s="1"/>
  <c r="H121" i="52" s="1"/>
  <c r="G239" i="52"/>
  <c r="K14" i="55" l="1"/>
  <c r="L14" i="55" s="1"/>
  <c r="N14" i="55"/>
  <c r="J15" i="55" s="1"/>
  <c r="K34" i="55"/>
  <c r="L34" i="55" s="1"/>
  <c r="N34" i="55" s="1"/>
  <c r="J35" i="55" s="1"/>
  <c r="F213" i="52"/>
  <c r="F238" i="52"/>
  <c r="H238" i="52" s="1"/>
  <c r="D239" i="52" s="1"/>
  <c r="E239" i="52" s="1"/>
  <c r="K35" i="55" l="1"/>
  <c r="L35" i="55" s="1"/>
  <c r="N35" i="55"/>
  <c r="J36" i="55" s="1"/>
  <c r="K15" i="55"/>
  <c r="L15" i="55" s="1"/>
  <c r="N15" i="55" s="1"/>
  <c r="J16" i="55" s="1"/>
  <c r="H213" i="52"/>
  <c r="D214" i="52" s="1"/>
  <c r="E214" i="52" s="1"/>
  <c r="I104" i="52" s="1"/>
  <c r="I119" i="52" s="1"/>
  <c r="I120" i="52" s="1"/>
  <c r="I121" i="52" s="1"/>
  <c r="H124" i="52"/>
  <c r="H132" i="52" s="1"/>
  <c r="F239" i="52"/>
  <c r="H239" i="52" s="1"/>
  <c r="F214" i="52" l="1"/>
  <c r="I124" i="52" s="1"/>
  <c r="I132" i="52" s="1"/>
  <c r="K16" i="55"/>
  <c r="L16" i="55" s="1"/>
  <c r="N16" i="55"/>
  <c r="J17" i="55" s="1"/>
  <c r="K36" i="55"/>
  <c r="L36" i="55" s="1"/>
  <c r="N36" i="55" s="1"/>
  <c r="J37" i="55" s="1"/>
  <c r="H214" i="52"/>
  <c r="D215" i="52" s="1"/>
  <c r="E215" i="52" s="1"/>
  <c r="F215" i="52" s="1"/>
  <c r="H215" i="52" s="1"/>
  <c r="D216" i="52" s="1"/>
  <c r="E216" i="52" s="1"/>
  <c r="K37" i="55" l="1"/>
  <c r="L37" i="55" s="1"/>
  <c r="N37" i="55"/>
  <c r="J38" i="55" s="1"/>
  <c r="K17" i="55"/>
  <c r="L17" i="55" s="1"/>
  <c r="N17" i="55" s="1"/>
  <c r="J18" i="55" s="1"/>
  <c r="F216" i="52"/>
  <c r="H216" i="52" s="1"/>
  <c r="D217" i="52" s="1"/>
  <c r="E217" i="52" s="1"/>
  <c r="D132" i="52"/>
  <c r="J132" i="52" l="1"/>
  <c r="G141" i="52"/>
  <c r="G143" i="52"/>
  <c r="K18" i="55"/>
  <c r="L18" i="55" s="1"/>
  <c r="N18" i="55"/>
  <c r="J19" i="55" s="1"/>
  <c r="K38" i="55"/>
  <c r="L38" i="55" s="1"/>
  <c r="N38" i="55" s="1"/>
  <c r="J39" i="55" s="1"/>
  <c r="F217" i="52"/>
  <c r="H217" i="52" s="1"/>
  <c r="D218" i="52" s="1"/>
  <c r="E218" i="52" s="1"/>
  <c r="K39" i="55" l="1"/>
  <c r="L39" i="55" s="1"/>
  <c r="N39" i="55"/>
  <c r="K19" i="55"/>
  <c r="L19" i="55" s="1"/>
  <c r="N19" i="55" s="1"/>
  <c r="F218" i="52"/>
  <c r="H218" i="52" s="1"/>
  <c r="D219" i="52" s="1"/>
  <c r="E219" i="52" s="1"/>
  <c r="F219" i="52" l="1"/>
  <c r="H219" i="52" s="1"/>
  <c r="F100" i="49" l="1"/>
  <c r="G100" i="49"/>
  <c r="H100" i="49"/>
  <c r="I100" i="49"/>
  <c r="E100" i="49"/>
  <c r="I94" i="49"/>
  <c r="P59" i="51" l="1"/>
  <c r="O50" i="51"/>
  <c r="O47" i="51"/>
  <c r="O44" i="51"/>
  <c r="O75" i="51" l="1"/>
  <c r="N75" i="51" s="1"/>
  <c r="O76" i="51"/>
  <c r="N76" i="51" s="1"/>
  <c r="O77" i="51"/>
  <c r="N77" i="51" s="1"/>
  <c r="N67" i="51"/>
  <c r="N68" i="51"/>
  <c r="N69" i="51"/>
  <c r="O67" i="51"/>
  <c r="M53" i="51"/>
  <c r="N53" i="51" s="1"/>
  <c r="P67" i="51" l="1"/>
  <c r="Q67" i="51" s="1"/>
  <c r="O68" i="51" s="1"/>
  <c r="P68" i="51" s="1"/>
  <c r="Q68" i="51" s="1"/>
  <c r="I95" i="51"/>
  <c r="F95" i="51"/>
  <c r="E95" i="51"/>
  <c r="G95" i="51"/>
  <c r="H95" i="51"/>
  <c r="O69" i="51" l="1"/>
  <c r="P69" i="51" s="1"/>
  <c r="Q69" i="51" s="1"/>
  <c r="N32" i="51" l="1"/>
  <c r="R30" i="51" s="1"/>
  <c r="N22" i="51"/>
  <c r="Q22" i="51" s="1"/>
  <c r="R22" i="51" s="1"/>
  <c r="F94" i="51"/>
  <c r="G94" i="51"/>
  <c r="H94" i="51"/>
  <c r="I94" i="51"/>
  <c r="E94" i="51"/>
  <c r="R28" i="51"/>
  <c r="N23" i="51"/>
  <c r="Q23" i="51" s="1"/>
  <c r="Q26" i="51"/>
  <c r="R26" i="51" s="1"/>
  <c r="Q27" i="51"/>
  <c r="N25" i="51"/>
  <c r="Q25" i="51" s="1"/>
  <c r="N24" i="51"/>
  <c r="M14" i="51"/>
  <c r="M15" i="51" s="1"/>
  <c r="D112" i="51" s="1"/>
  <c r="D115" i="51" s="1"/>
  <c r="F101" i="51" l="1"/>
  <c r="F108" i="51" s="1"/>
  <c r="E101" i="51"/>
  <c r="G101" i="51"/>
  <c r="G108" i="51" s="1"/>
  <c r="H101" i="51"/>
  <c r="H108" i="51" s="1"/>
  <c r="I101" i="51"/>
  <c r="R25" i="51"/>
  <c r="R23" i="51"/>
  <c r="Q24" i="51"/>
  <c r="R24" i="51" s="1"/>
  <c r="Q29" i="51"/>
  <c r="R27" i="51"/>
  <c r="E108" i="51" l="1"/>
  <c r="I104" i="51"/>
  <c r="I108" i="51"/>
  <c r="R29" i="51"/>
  <c r="E90" i="51" l="1"/>
  <c r="G90" i="51"/>
  <c r="H90" i="51"/>
  <c r="I90" i="51"/>
  <c r="F90" i="51"/>
  <c r="R31" i="51"/>
  <c r="R32" i="51" s="1"/>
  <c r="I82" i="51" s="1"/>
  <c r="O37" i="51"/>
  <c r="H82" i="51" l="1"/>
  <c r="E82" i="51"/>
  <c r="F82" i="51"/>
  <c r="G82" i="51"/>
  <c r="P37" i="51"/>
  <c r="Q37" i="51"/>
  <c r="R37" i="51"/>
  <c r="S37" i="51" s="1"/>
  <c r="F89" i="51" l="1"/>
  <c r="F88" i="51"/>
  <c r="F96" i="51" s="1"/>
  <c r="I89" i="51"/>
  <c r="I88" i="51"/>
  <c r="I96" i="51" s="1"/>
  <c r="E89" i="51"/>
  <c r="E88" i="51"/>
  <c r="E96" i="51" s="1"/>
  <c r="G89" i="51"/>
  <c r="G88" i="51"/>
  <c r="G96" i="51" s="1"/>
  <c r="H88" i="51"/>
  <c r="H89" i="51"/>
  <c r="H96" i="51" l="1"/>
  <c r="I93" i="49" l="1"/>
  <c r="K136" i="49"/>
  <c r="I136" i="49"/>
  <c r="I141" i="49" s="1"/>
  <c r="G177" i="49"/>
  <c r="G176" i="49"/>
  <c r="I167" i="49" s="1"/>
  <c r="N31" i="49"/>
  <c r="I106" i="49"/>
  <c r="H106" i="49"/>
  <c r="G106" i="49"/>
  <c r="I105" i="49"/>
  <c r="H105" i="49"/>
  <c r="E105" i="49"/>
  <c r="E113" i="49" s="1"/>
  <c r="F105" i="49"/>
  <c r="F113" i="49" s="1"/>
  <c r="G105" i="49"/>
  <c r="E99" i="49"/>
  <c r="E98" i="49"/>
  <c r="F88" i="49"/>
  <c r="F2" i="2"/>
  <c r="F91" i="49" l="1"/>
  <c r="H185" i="49"/>
  <c r="I185" i="49" s="1"/>
  <c r="G88" i="49"/>
  <c r="G179" i="49"/>
  <c r="I144" i="49"/>
  <c r="G178" i="49"/>
  <c r="H113" i="49"/>
  <c r="I166" i="49"/>
  <c r="N166" i="49"/>
  <c r="T166" i="49"/>
  <c r="T167" i="49"/>
  <c r="P167" i="49"/>
  <c r="S168" i="49"/>
  <c r="O168" i="49"/>
  <c r="K168" i="49"/>
  <c r="K163" i="49"/>
  <c r="L163" i="49" s="1"/>
  <c r="M163" i="49" s="1"/>
  <c r="N163" i="49" s="1"/>
  <c r="O163" i="49" s="1"/>
  <c r="P163" i="49" s="1"/>
  <c r="Q163" i="49" s="1"/>
  <c r="R163" i="49" s="1"/>
  <c r="S163" i="49" s="1"/>
  <c r="T163" i="49" s="1"/>
  <c r="M166" i="49"/>
  <c r="R166" i="49"/>
  <c r="S167" i="49"/>
  <c r="O167" i="49"/>
  <c r="K167" i="49"/>
  <c r="R168" i="49"/>
  <c r="N168" i="49"/>
  <c r="J168" i="49"/>
  <c r="I168" i="49"/>
  <c r="J166" i="49"/>
  <c r="P166" i="49"/>
  <c r="Q167" i="49"/>
  <c r="M167" i="49"/>
  <c r="T168" i="49"/>
  <c r="P168" i="49"/>
  <c r="L168" i="49"/>
  <c r="L167" i="49"/>
  <c r="K166" i="49"/>
  <c r="Q166" i="49"/>
  <c r="R167" i="49"/>
  <c r="N167" i="49"/>
  <c r="J167" i="49"/>
  <c r="Q168" i="49"/>
  <c r="M168" i="49"/>
  <c r="I113" i="49"/>
  <c r="J162" i="49"/>
  <c r="L166" i="49"/>
  <c r="S166" i="49"/>
  <c r="O166" i="49"/>
  <c r="F99" i="49"/>
  <c r="G113" i="49"/>
  <c r="E97" i="49"/>
  <c r="F97" i="49"/>
  <c r="M32" i="49"/>
  <c r="M33" i="49"/>
  <c r="M34" i="49"/>
  <c r="D116" i="49"/>
  <c r="L32" i="49"/>
  <c r="G99" i="49" l="1"/>
  <c r="H186" i="49"/>
  <c r="I186" i="49" s="1"/>
  <c r="G91" i="49"/>
  <c r="H88" i="49"/>
  <c r="K162" i="49"/>
  <c r="J171" i="49"/>
  <c r="J170" i="49"/>
  <c r="I172" i="49"/>
  <c r="I173" i="49" s="1"/>
  <c r="J169" i="49"/>
  <c r="E105" i="51"/>
  <c r="E106" i="51" s="1"/>
  <c r="G98" i="49"/>
  <c r="G97" i="49"/>
  <c r="N32" i="49"/>
  <c r="L33" i="49" s="1"/>
  <c r="K33" i="49" s="1"/>
  <c r="K32" i="49"/>
  <c r="E110" i="49"/>
  <c r="E111" i="49" s="1"/>
  <c r="E112" i="49" s="1"/>
  <c r="F98" i="49"/>
  <c r="H99" i="49" l="1"/>
  <c r="H187" i="49"/>
  <c r="I187" i="49" s="1"/>
  <c r="H91" i="49"/>
  <c r="H97" i="49" s="1"/>
  <c r="I88" i="49"/>
  <c r="L162" i="49"/>
  <c r="K170" i="49"/>
  <c r="K171" i="49"/>
  <c r="K169" i="49"/>
  <c r="J172" i="49"/>
  <c r="J173" i="49" s="1"/>
  <c r="E107" i="51"/>
  <c r="E115" i="51" s="1"/>
  <c r="N33" i="49"/>
  <c r="F110" i="49"/>
  <c r="F111" i="49" s="1"/>
  <c r="F112" i="49" s="1"/>
  <c r="H98" i="49"/>
  <c r="H110" i="49" s="1"/>
  <c r="V58" i="47"/>
  <c r="J58" i="47"/>
  <c r="U58" i="47"/>
  <c r="F81" i="47"/>
  <c r="I56" i="47"/>
  <c r="P51" i="47"/>
  <c r="U43" i="47"/>
  <c r="U51" i="47" s="1"/>
  <c r="T43" i="47"/>
  <c r="T51" i="47" s="1"/>
  <c r="S43" i="47"/>
  <c r="R43" i="47"/>
  <c r="Q43" i="47"/>
  <c r="R41" i="47"/>
  <c r="S41" i="47"/>
  <c r="T41" i="47"/>
  <c r="U41" i="47"/>
  <c r="Q41" i="47"/>
  <c r="R39" i="47"/>
  <c r="S39" i="47"/>
  <c r="T39" i="47"/>
  <c r="U39" i="47"/>
  <c r="Q39" i="47"/>
  <c r="F41" i="47"/>
  <c r="F48" i="47" s="1"/>
  <c r="F49" i="47" s="1"/>
  <c r="G41" i="47"/>
  <c r="H41" i="47"/>
  <c r="I41" i="47"/>
  <c r="E41" i="47"/>
  <c r="R34" i="47"/>
  <c r="S34" i="47"/>
  <c r="T34" i="47"/>
  <c r="U34" i="47"/>
  <c r="Q34" i="47"/>
  <c r="F34" i="47"/>
  <c r="G34" i="47"/>
  <c r="H34" i="47"/>
  <c r="H48" i="47" s="1"/>
  <c r="H49" i="47" s="1"/>
  <c r="I34" i="47"/>
  <c r="I48" i="47" s="1"/>
  <c r="I49" i="47" s="1"/>
  <c r="E34" i="47"/>
  <c r="P48" i="47"/>
  <c r="P49" i="47" s="1"/>
  <c r="S44" i="47"/>
  <c r="R44" i="47"/>
  <c r="Q44" i="47"/>
  <c r="R51" i="47"/>
  <c r="H51" i="47"/>
  <c r="I91" i="49" l="1"/>
  <c r="I97" i="49" s="1"/>
  <c r="H188" i="49"/>
  <c r="I188" i="49" s="1"/>
  <c r="I99" i="49"/>
  <c r="L34" i="49"/>
  <c r="K34" i="49" s="1"/>
  <c r="M162" i="49"/>
  <c r="L171" i="49"/>
  <c r="L170" i="49"/>
  <c r="N34" i="49"/>
  <c r="L169" i="49"/>
  <c r="K172" i="49"/>
  <c r="K173" i="49" s="1"/>
  <c r="H105" i="51"/>
  <c r="H106" i="51" s="1"/>
  <c r="F105" i="51"/>
  <c r="F106" i="51" s="1"/>
  <c r="I98" i="49"/>
  <c r="G110" i="49"/>
  <c r="G111" i="49" s="1"/>
  <c r="G112" i="49" s="1"/>
  <c r="H111" i="49"/>
  <c r="H112" i="49" s="1"/>
  <c r="P50" i="47"/>
  <c r="S48" i="47"/>
  <c r="S49" i="47" s="1"/>
  <c r="I50" i="47"/>
  <c r="I58" i="47" s="1"/>
  <c r="E51" i="47"/>
  <c r="G51" i="47"/>
  <c r="G48" i="47"/>
  <c r="G49" i="47" s="1"/>
  <c r="Q51" i="47"/>
  <c r="R48" i="47"/>
  <c r="R49" i="47" s="1"/>
  <c r="Q48" i="47"/>
  <c r="Q49" i="47" s="1"/>
  <c r="Q50" i="47" s="1"/>
  <c r="U48" i="47"/>
  <c r="T48" i="47"/>
  <c r="T49" i="47" s="1"/>
  <c r="E48" i="47"/>
  <c r="S51" i="47"/>
  <c r="S50" i="47"/>
  <c r="S58" i="47" s="1"/>
  <c r="P58" i="47"/>
  <c r="R50" i="47"/>
  <c r="R58" i="47" s="1"/>
  <c r="F51" i="47"/>
  <c r="G50" i="47"/>
  <c r="D58" i="47"/>
  <c r="F50" i="47"/>
  <c r="H50" i="47"/>
  <c r="H58" i="47" s="1"/>
  <c r="I110" i="49" l="1"/>
  <c r="I111" i="49" s="1"/>
  <c r="I112" i="49" s="1"/>
  <c r="N162" i="49"/>
  <c r="M171" i="49"/>
  <c r="M170" i="49"/>
  <c r="M169" i="49"/>
  <c r="L172" i="49"/>
  <c r="L173" i="49" s="1"/>
  <c r="H107" i="51"/>
  <c r="H115" i="51" s="1"/>
  <c r="F107" i="51"/>
  <c r="F115" i="51" s="1"/>
  <c r="G105" i="51"/>
  <c r="G106" i="51" s="1"/>
  <c r="U49" i="47"/>
  <c r="U50" i="47"/>
  <c r="Q58" i="47"/>
  <c r="E50" i="47"/>
  <c r="E58" i="47" s="1"/>
  <c r="E49" i="47"/>
  <c r="T50" i="47"/>
  <c r="T58" i="47" s="1"/>
  <c r="F58" i="47"/>
  <c r="N170" i="49" l="1"/>
  <c r="N171" i="49"/>
  <c r="O162" i="49"/>
  <c r="I105" i="51"/>
  <c r="N169" i="49"/>
  <c r="M172" i="49"/>
  <c r="M173" i="49" s="1"/>
  <c r="G107" i="51"/>
  <c r="G115" i="51" s="1"/>
  <c r="G58" i="47"/>
  <c r="O170" i="49" l="1"/>
  <c r="O171" i="49"/>
  <c r="P162" i="49"/>
  <c r="I106" i="51"/>
  <c r="I107" i="51" s="1"/>
  <c r="I115" i="51" s="1"/>
  <c r="J115" i="51" s="1"/>
  <c r="O169" i="49"/>
  <c r="N172" i="49"/>
  <c r="N173" i="49" s="1"/>
  <c r="C28" i="38"/>
  <c r="P171" i="49" l="1"/>
  <c r="P170" i="49"/>
  <c r="Q162" i="49"/>
  <c r="P169" i="49"/>
  <c r="O172" i="49"/>
  <c r="O173" i="49" s="1"/>
  <c r="N42" i="40"/>
  <c r="N43" i="40"/>
  <c r="G21" i="35"/>
  <c r="L48" i="43"/>
  <c r="J56" i="42"/>
  <c r="G27" i="30"/>
  <c r="F26" i="30"/>
  <c r="E26" i="30"/>
  <c r="G36" i="43"/>
  <c r="D26" i="30"/>
  <c r="G44" i="43"/>
  <c r="F44" i="43"/>
  <c r="E44" i="43"/>
  <c r="G43" i="43"/>
  <c r="F43" i="43"/>
  <c r="E43" i="43"/>
  <c r="G34" i="43"/>
  <c r="F34" i="43"/>
  <c r="E34" i="43"/>
  <c r="N33" i="43"/>
  <c r="G41" i="43" s="1"/>
  <c r="H51" i="43"/>
  <c r="V56" i="42"/>
  <c r="C85" i="42"/>
  <c r="U35" i="42"/>
  <c r="U40" i="42"/>
  <c r="R41" i="42"/>
  <c r="U46" i="42"/>
  <c r="U43" i="42"/>
  <c r="U51" i="42" s="1"/>
  <c r="T43" i="42"/>
  <c r="S43" i="42"/>
  <c r="S51" i="42" s="1"/>
  <c r="R43" i="42"/>
  <c r="R51" i="42" s="1"/>
  <c r="Q43" i="42"/>
  <c r="S69" i="42"/>
  <c r="R72" i="42"/>
  <c r="S52" i="42" s="1"/>
  <c r="R71" i="42"/>
  <c r="R52" i="42" s="1"/>
  <c r="R70" i="42"/>
  <c r="S70" i="42" s="1"/>
  <c r="Q71" i="42" s="1"/>
  <c r="R38" i="42" s="1"/>
  <c r="N64" i="42"/>
  <c r="O64" i="42" s="1"/>
  <c r="Q70" i="42" s="1"/>
  <c r="Q38" i="42" s="1"/>
  <c r="Q65" i="42"/>
  <c r="U41" i="42" s="1"/>
  <c r="R34" i="42"/>
  <c r="R40" i="42" s="1"/>
  <c r="S34" i="42"/>
  <c r="S40" i="42" s="1"/>
  <c r="T34" i="42"/>
  <c r="T40" i="42" s="1"/>
  <c r="U34" i="42"/>
  <c r="Q34" i="42"/>
  <c r="Q40" i="42" s="1"/>
  <c r="I36" i="42"/>
  <c r="I34" i="42"/>
  <c r="I40" i="42" s="1"/>
  <c r="H34" i="42"/>
  <c r="H40" i="42" s="1"/>
  <c r="G34" i="42"/>
  <c r="G40" i="42" s="1"/>
  <c r="F34" i="42"/>
  <c r="F40" i="42" s="1"/>
  <c r="E34" i="42"/>
  <c r="E40" i="42" s="1"/>
  <c r="D34" i="42"/>
  <c r="I46" i="42"/>
  <c r="I43" i="42"/>
  <c r="H43" i="42"/>
  <c r="H51" i="42" s="1"/>
  <c r="G43" i="42"/>
  <c r="G51" i="42" s="1"/>
  <c r="F43" i="42"/>
  <c r="F51" i="42" s="1"/>
  <c r="E43" i="42"/>
  <c r="E51" i="42" s="1"/>
  <c r="D63" i="42"/>
  <c r="E63" i="42" s="1"/>
  <c r="C80" i="42"/>
  <c r="P56" i="42"/>
  <c r="D56" i="42"/>
  <c r="U52" i="42"/>
  <c r="Q51" i="42"/>
  <c r="J64" i="42"/>
  <c r="G41" i="42" s="1"/>
  <c r="V55" i="41"/>
  <c r="T58" i="41" s="1"/>
  <c r="U40" i="41"/>
  <c r="T40" i="41"/>
  <c r="S40" i="41"/>
  <c r="R40" i="41"/>
  <c r="Q40" i="41"/>
  <c r="I48" i="41"/>
  <c r="H48" i="41"/>
  <c r="G48" i="41"/>
  <c r="F48" i="41"/>
  <c r="E48" i="41"/>
  <c r="I40" i="41"/>
  <c r="H40" i="41"/>
  <c r="G40" i="41"/>
  <c r="F40" i="41"/>
  <c r="E40" i="41"/>
  <c r="T42" i="41"/>
  <c r="S42" i="41"/>
  <c r="S50" i="41" s="1"/>
  <c r="R42" i="41"/>
  <c r="R50" i="41" s="1"/>
  <c r="Q42" i="41"/>
  <c r="Q50" i="41" s="1"/>
  <c r="U34" i="41"/>
  <c r="I34" i="41"/>
  <c r="H42" i="41"/>
  <c r="G42" i="41"/>
  <c r="F42" i="41"/>
  <c r="F50" i="41" s="1"/>
  <c r="E42" i="41"/>
  <c r="T31" i="41"/>
  <c r="U31" i="41" s="1"/>
  <c r="H31" i="41"/>
  <c r="I31" i="41" s="1"/>
  <c r="J18" i="41"/>
  <c r="I18" i="41"/>
  <c r="P55" i="41"/>
  <c r="U51" i="41"/>
  <c r="T51" i="41"/>
  <c r="S51" i="41"/>
  <c r="R51" i="41"/>
  <c r="Q51" i="41"/>
  <c r="U50" i="41"/>
  <c r="T45" i="41"/>
  <c r="U38" i="41"/>
  <c r="T38" i="41"/>
  <c r="S38" i="41"/>
  <c r="S47" i="41" s="1"/>
  <c r="S48" i="41" s="1"/>
  <c r="R38" i="41"/>
  <c r="Q38" i="41"/>
  <c r="D55" i="41"/>
  <c r="I51" i="41"/>
  <c r="H51" i="41"/>
  <c r="G51" i="41"/>
  <c r="F51" i="41"/>
  <c r="E51" i="41"/>
  <c r="I50" i="41"/>
  <c r="E50" i="41"/>
  <c r="I38" i="41"/>
  <c r="H38" i="41"/>
  <c r="G38" i="41"/>
  <c r="F38" i="41"/>
  <c r="E38" i="41"/>
  <c r="E47" i="41" s="1"/>
  <c r="N52" i="40"/>
  <c r="N53" i="40" s="1"/>
  <c r="J43" i="40"/>
  <c r="Q171" i="49" l="1"/>
  <c r="Q170" i="49"/>
  <c r="R162" i="49"/>
  <c r="Q169" i="49"/>
  <c r="P172" i="49"/>
  <c r="P173" i="49" s="1"/>
  <c r="N46" i="40"/>
  <c r="J48" i="40" s="1"/>
  <c r="J41" i="40" s="1"/>
  <c r="K22" i="40" s="1"/>
  <c r="F51" i="43"/>
  <c r="E41" i="43"/>
  <c r="D52" i="43" s="1"/>
  <c r="G51" i="43"/>
  <c r="F41" i="43"/>
  <c r="E51" i="43"/>
  <c r="E48" i="43"/>
  <c r="E49" i="43" s="1"/>
  <c r="H48" i="43"/>
  <c r="H49" i="43" s="1"/>
  <c r="C78" i="42"/>
  <c r="S41" i="42"/>
  <c r="T41" i="42"/>
  <c r="P70" i="42"/>
  <c r="Q52" i="42"/>
  <c r="Q41" i="42"/>
  <c r="P71" i="42"/>
  <c r="S71" i="42"/>
  <c r="H41" i="42"/>
  <c r="E41" i="42"/>
  <c r="I41" i="42"/>
  <c r="F41" i="42"/>
  <c r="T51" i="42"/>
  <c r="H48" i="42"/>
  <c r="H49" i="42" s="1"/>
  <c r="I51" i="42"/>
  <c r="C72" i="42"/>
  <c r="C73" i="42"/>
  <c r="C71" i="42"/>
  <c r="I48" i="42"/>
  <c r="D71" i="42"/>
  <c r="E38" i="42" s="1"/>
  <c r="U48" i="42"/>
  <c r="U49" i="42" s="1"/>
  <c r="R48" i="42"/>
  <c r="R49" i="42" s="1"/>
  <c r="H50" i="42"/>
  <c r="H56" i="42" s="1"/>
  <c r="T48" i="42"/>
  <c r="T49" i="42" s="1"/>
  <c r="Q48" i="42"/>
  <c r="Q49" i="42" s="1"/>
  <c r="Q47" i="41"/>
  <c r="Q48" i="41" s="1"/>
  <c r="G47" i="41"/>
  <c r="T50" i="41"/>
  <c r="R47" i="41"/>
  <c r="T47" i="41"/>
  <c r="U47" i="41"/>
  <c r="F47" i="41"/>
  <c r="I47" i="41"/>
  <c r="I49" i="41" s="1"/>
  <c r="I55" i="41" s="1"/>
  <c r="G50" i="41"/>
  <c r="S49" i="41"/>
  <c r="S55" i="41" s="1"/>
  <c r="F49" i="41"/>
  <c r="F55" i="41" s="1"/>
  <c r="E49" i="41"/>
  <c r="E55" i="41" s="1"/>
  <c r="G49" i="41"/>
  <c r="G55" i="41" s="1"/>
  <c r="N54" i="40"/>
  <c r="J50" i="40" s="1"/>
  <c r="J49" i="40"/>
  <c r="I11" i="40"/>
  <c r="H14" i="40" s="1"/>
  <c r="D24" i="40"/>
  <c r="H11" i="40"/>
  <c r="G11" i="40"/>
  <c r="G19" i="40" s="1"/>
  <c r="F11" i="40"/>
  <c r="F19" i="40" s="1"/>
  <c r="E11" i="40"/>
  <c r="E19" i="40" s="1"/>
  <c r="G23" i="39"/>
  <c r="H23" i="39"/>
  <c r="G18" i="39"/>
  <c r="H18" i="39"/>
  <c r="G17" i="39"/>
  <c r="H17" i="39"/>
  <c r="G15" i="39"/>
  <c r="H15" i="39"/>
  <c r="F15" i="39"/>
  <c r="I11" i="39"/>
  <c r="I18" i="39" s="1"/>
  <c r="H11" i="39"/>
  <c r="G11" i="39"/>
  <c r="I10" i="39"/>
  <c r="H10" i="39"/>
  <c r="G10" i="39"/>
  <c r="I3" i="39"/>
  <c r="H3" i="39"/>
  <c r="G3" i="39"/>
  <c r="I19" i="39"/>
  <c r="H19" i="39"/>
  <c r="G19" i="39"/>
  <c r="F19" i="39"/>
  <c r="E19" i="39"/>
  <c r="I6" i="39"/>
  <c r="H6" i="39"/>
  <c r="G6" i="39"/>
  <c r="F6" i="39"/>
  <c r="E6" i="39"/>
  <c r="G16" i="39"/>
  <c r="H16" i="39"/>
  <c r="C40" i="39"/>
  <c r="C39" i="39"/>
  <c r="C37" i="39"/>
  <c r="D37" i="39"/>
  <c r="C36" i="39"/>
  <c r="B40" i="39"/>
  <c r="B39" i="39"/>
  <c r="C28" i="39"/>
  <c r="D28" i="39" s="1"/>
  <c r="D20" i="39"/>
  <c r="D23" i="39" s="1"/>
  <c r="B45" i="39"/>
  <c r="B43" i="39" s="1"/>
  <c r="F10" i="39"/>
  <c r="F18" i="39" s="1"/>
  <c r="E10" i="39"/>
  <c r="E18" i="39" s="1"/>
  <c r="I21" i="38"/>
  <c r="G10" i="38"/>
  <c r="F10" i="38"/>
  <c r="E10" i="38"/>
  <c r="G7" i="38"/>
  <c r="F7" i="38"/>
  <c r="E7" i="38"/>
  <c r="E35" i="38"/>
  <c r="R170" i="49" l="1"/>
  <c r="R171" i="49"/>
  <c r="S162" i="49"/>
  <c r="R169" i="49"/>
  <c r="Q172" i="49"/>
  <c r="Q173" i="49" s="1"/>
  <c r="D58" i="43"/>
  <c r="H50" i="43"/>
  <c r="H58" i="43" s="1"/>
  <c r="E50" i="43"/>
  <c r="E48" i="42"/>
  <c r="Q72" i="42"/>
  <c r="S72" i="42"/>
  <c r="I49" i="42"/>
  <c r="I50" i="42" s="1"/>
  <c r="I56" i="42" s="1"/>
  <c r="E49" i="42"/>
  <c r="E50" i="42" s="1"/>
  <c r="E71" i="42"/>
  <c r="E52" i="42" s="1"/>
  <c r="E56" i="42" s="1"/>
  <c r="Q50" i="42"/>
  <c r="Q56" i="42" s="1"/>
  <c r="U50" i="42"/>
  <c r="U56" i="42" s="1"/>
  <c r="R50" i="42"/>
  <c r="T50" i="42"/>
  <c r="T56" i="42" s="1"/>
  <c r="U48" i="41"/>
  <c r="U49" i="41" s="1"/>
  <c r="U55" i="41" s="1"/>
  <c r="T48" i="41"/>
  <c r="T49" i="41" s="1"/>
  <c r="T55" i="41" s="1"/>
  <c r="R48" i="41"/>
  <c r="R49" i="41" s="1"/>
  <c r="R55" i="41" s="1"/>
  <c r="Q49" i="41"/>
  <c r="Q55" i="41" s="1"/>
  <c r="H47" i="41"/>
  <c r="H50" i="41"/>
  <c r="H19" i="40"/>
  <c r="I19" i="40"/>
  <c r="E35" i="39"/>
  <c r="E15" i="39" s="1"/>
  <c r="S170" i="49" l="1"/>
  <c r="S171" i="49"/>
  <c r="T162" i="49"/>
  <c r="S169" i="49"/>
  <c r="R172" i="49"/>
  <c r="R173" i="49" s="1"/>
  <c r="F52" i="43"/>
  <c r="E52" i="43"/>
  <c r="E58" i="43" s="1"/>
  <c r="P72" i="42"/>
  <c r="S38" i="42"/>
  <c r="S48" i="42" s="1"/>
  <c r="S49" i="42"/>
  <c r="S50" i="42" s="1"/>
  <c r="S56" i="42" s="1"/>
  <c r="R56" i="42"/>
  <c r="F71" i="42"/>
  <c r="D72" i="42" s="1"/>
  <c r="E72" i="42" s="1"/>
  <c r="H49" i="41"/>
  <c r="H55" i="41" s="1"/>
  <c r="J55" i="41" s="1"/>
  <c r="E7" i="40"/>
  <c r="E16" i="40" s="1"/>
  <c r="E20" i="40"/>
  <c r="E16" i="39"/>
  <c r="E17" i="39" s="1"/>
  <c r="E23" i="39" s="1"/>
  <c r="B38" i="39"/>
  <c r="B37" i="39"/>
  <c r="B36" i="39"/>
  <c r="D36" i="39" s="1"/>
  <c r="E36" i="39"/>
  <c r="T170" i="49" l="1"/>
  <c r="T171" i="49"/>
  <c r="T169" i="49"/>
  <c r="S172" i="49"/>
  <c r="S173" i="49" s="1"/>
  <c r="G57" i="43"/>
  <c r="G58" i="43" s="1"/>
  <c r="F48" i="43"/>
  <c r="F49" i="43" s="1"/>
  <c r="F38" i="42"/>
  <c r="F48" i="42" s="1"/>
  <c r="F52" i="42"/>
  <c r="F72" i="42"/>
  <c r="D73" i="42" s="1"/>
  <c r="F49" i="42"/>
  <c r="F50" i="42" s="1"/>
  <c r="F56" i="42" s="1"/>
  <c r="E17" i="40"/>
  <c r="E18" i="40" s="1"/>
  <c r="E24" i="40" s="1"/>
  <c r="E25" i="40" s="1"/>
  <c r="F7" i="40"/>
  <c r="F16" i="40" s="1"/>
  <c r="E24" i="39"/>
  <c r="T172" i="49" l="1"/>
  <c r="T173" i="49" s="1"/>
  <c r="F50" i="43"/>
  <c r="F58" i="43" s="1"/>
  <c r="J58" i="43" s="1"/>
  <c r="E73" i="42"/>
  <c r="G52" i="42" s="1"/>
  <c r="G38" i="42"/>
  <c r="G48" i="42" s="1"/>
  <c r="G49" i="42" s="1"/>
  <c r="F17" i="40"/>
  <c r="F18" i="40" s="1"/>
  <c r="F20" i="40"/>
  <c r="F16" i="39"/>
  <c r="I180" i="49" l="1"/>
  <c r="I174" i="49"/>
  <c r="F73" i="42"/>
  <c r="G50" i="42"/>
  <c r="G56" i="42" s="1"/>
  <c r="F24" i="40"/>
  <c r="F25" i="40" s="1"/>
  <c r="E37" i="39"/>
  <c r="F17" i="39"/>
  <c r="D114" i="49" l="1"/>
  <c r="D120" i="49" s="1"/>
  <c r="K183" i="49"/>
  <c r="J184" i="49" s="1"/>
  <c r="K184" i="49" s="1"/>
  <c r="G48" i="43"/>
  <c r="G49" i="43" s="1"/>
  <c r="G7" i="40"/>
  <c r="G16" i="40" s="1"/>
  <c r="G17" i="40" s="1"/>
  <c r="F23" i="39"/>
  <c r="F24" i="39" s="1"/>
  <c r="C38" i="39"/>
  <c r="D38" i="39" s="1"/>
  <c r="J185" i="49" l="1"/>
  <c r="K185" i="49" s="1"/>
  <c r="E114" i="49"/>
  <c r="E120" i="49" s="1"/>
  <c r="G50" i="43"/>
  <c r="G20" i="40"/>
  <c r="G18" i="40"/>
  <c r="I15" i="39"/>
  <c r="I16" i="39" s="1"/>
  <c r="J186" i="49" l="1"/>
  <c r="K186" i="49" s="1"/>
  <c r="F114" i="49"/>
  <c r="G24" i="40"/>
  <c r="E38" i="39"/>
  <c r="I17" i="39"/>
  <c r="I23" i="39" s="1"/>
  <c r="F120" i="49" l="1"/>
  <c r="J187" i="49"/>
  <c r="K187" i="49" s="1"/>
  <c r="G114" i="49"/>
  <c r="G120" i="49" s="1"/>
  <c r="H7" i="40"/>
  <c r="H16" i="40" s="1"/>
  <c r="H17" i="40" s="1"/>
  <c r="D39" i="39"/>
  <c r="E39" i="39" s="1"/>
  <c r="I24" i="39"/>
  <c r="E25" i="39" s="1"/>
  <c r="J23" i="39"/>
  <c r="J188" i="49" l="1"/>
  <c r="K188" i="49" s="1"/>
  <c r="H114" i="49"/>
  <c r="H120" i="49" s="1"/>
  <c r="J120" i="49" s="1"/>
  <c r="I119" i="49"/>
  <c r="I120" i="49" s="1"/>
  <c r="H20" i="40"/>
  <c r="H18" i="40"/>
  <c r="D40" i="39"/>
  <c r="E40" i="39" s="1"/>
  <c r="H24" i="40" l="1"/>
  <c r="I7" i="40" l="1"/>
  <c r="I16" i="40" s="1"/>
  <c r="I17" i="40" s="1"/>
  <c r="I20" i="40" l="1"/>
  <c r="I18" i="40"/>
  <c r="I24" i="40" l="1"/>
  <c r="I25" i="40" l="1"/>
  <c r="E26" i="40" s="1"/>
  <c r="J24" i="40"/>
  <c r="D28" i="38" l="1"/>
  <c r="B36" i="38" s="1"/>
  <c r="D23" i="38"/>
  <c r="B43" i="38"/>
  <c r="B41" i="38" s="1"/>
  <c r="B41" i="35"/>
  <c r="G10" i="35"/>
  <c r="G15" i="35" s="1"/>
  <c r="F10" i="35"/>
  <c r="E10" i="35"/>
  <c r="B43" i="35"/>
  <c r="D23" i="35"/>
  <c r="H12" i="35"/>
  <c r="I15" i="35" s="1"/>
  <c r="F11" i="35"/>
  <c r="E11" i="35"/>
  <c r="F18" i="35"/>
  <c r="C22" i="34"/>
  <c r="D21" i="34"/>
  <c r="C21" i="34"/>
  <c r="E21" i="34" s="1"/>
  <c r="F21" i="34" s="1"/>
  <c r="D19" i="34"/>
  <c r="C19" i="34"/>
  <c r="B35" i="22"/>
  <c r="G10" i="34"/>
  <c r="E10" i="34"/>
  <c r="D10" i="34"/>
  <c r="G9" i="34"/>
  <c r="E9" i="34"/>
  <c r="D9" i="34"/>
  <c r="C10" i="34"/>
  <c r="C9" i="34"/>
  <c r="A5" i="34"/>
  <c r="B5" i="34"/>
  <c r="H10" i="33"/>
  <c r="F10" i="33"/>
  <c r="E10" i="33"/>
  <c r="H9" i="33"/>
  <c r="F9" i="33"/>
  <c r="E9" i="33"/>
  <c r="H8" i="33"/>
  <c r="F8" i="33"/>
  <c r="D10" i="33"/>
  <c r="D9" i="33"/>
  <c r="D8" i="33"/>
  <c r="E8" i="33"/>
  <c r="D4" i="33"/>
  <c r="B4" i="31"/>
  <c r="C64" i="31"/>
  <c r="I10" i="22"/>
  <c r="H10" i="22"/>
  <c r="G10" i="22"/>
  <c r="F10" i="22"/>
  <c r="E10" i="22"/>
  <c r="E13" i="9"/>
  <c r="E14" i="9" s="1"/>
  <c r="F2" i="1"/>
  <c r="K15" i="23"/>
  <c r="D18" i="23"/>
  <c r="M3" i="22"/>
  <c r="L3" i="22"/>
  <c r="K20" i="21"/>
  <c r="C36" i="38" l="1"/>
  <c r="E6" i="38" s="1"/>
  <c r="B37" i="38"/>
  <c r="B38" i="38"/>
  <c r="E15" i="38"/>
  <c r="F18" i="38"/>
  <c r="E18" i="38"/>
  <c r="E18" i="35"/>
  <c r="I18" i="35"/>
  <c r="I16" i="35"/>
  <c r="I17" i="35" s="1"/>
  <c r="G16" i="35"/>
  <c r="G17" i="35" s="1"/>
  <c r="H18" i="35"/>
  <c r="H15" i="35"/>
  <c r="E15" i="35"/>
  <c r="G18" i="35"/>
  <c r="D22" i="34"/>
  <c r="E22" i="34"/>
  <c r="F22" i="34" s="1"/>
  <c r="N6" i="21"/>
  <c r="M7" i="21"/>
  <c r="M8" i="21"/>
  <c r="M6" i="21"/>
  <c r="J17" i="21"/>
  <c r="K17" i="21" s="1"/>
  <c r="K10" i="21"/>
  <c r="B2" i="31"/>
  <c r="J17" i="31"/>
  <c r="C62" i="32"/>
  <c r="M58" i="32"/>
  <c r="L58" i="32"/>
  <c r="K58" i="32"/>
  <c r="J58" i="32"/>
  <c r="I58" i="32"/>
  <c r="H58" i="32"/>
  <c r="G58" i="32"/>
  <c r="K57" i="32"/>
  <c r="M53" i="32"/>
  <c r="M57" i="32" s="1"/>
  <c r="L53" i="32"/>
  <c r="L57" i="32" s="1"/>
  <c r="K53" i="32"/>
  <c r="J53" i="32"/>
  <c r="J57" i="32" s="1"/>
  <c r="I53" i="32"/>
  <c r="I57" i="32" s="1"/>
  <c r="H53" i="32"/>
  <c r="H57" i="32" s="1"/>
  <c r="G53" i="32"/>
  <c r="G57" i="32" s="1"/>
  <c r="F53" i="32"/>
  <c r="F57" i="32" s="1"/>
  <c r="E53" i="32"/>
  <c r="E57" i="32" s="1"/>
  <c r="D53" i="32"/>
  <c r="D57" i="32" s="1"/>
  <c r="H49" i="32"/>
  <c r="D49" i="32"/>
  <c r="M47" i="32"/>
  <c r="D46" i="32"/>
  <c r="L37" i="32"/>
  <c r="L46" i="32" s="1"/>
  <c r="H37" i="32"/>
  <c r="H46" i="32" s="1"/>
  <c r="E37" i="32"/>
  <c r="F37" i="32" s="1"/>
  <c r="F34" i="32"/>
  <c r="G32" i="32"/>
  <c r="G31" i="32"/>
  <c r="E27" i="32" s="1"/>
  <c r="B28" i="32"/>
  <c r="B25" i="32"/>
  <c r="E21" i="32"/>
  <c r="B16" i="32"/>
  <c r="B15" i="32"/>
  <c r="B14" i="32"/>
  <c r="B13" i="32"/>
  <c r="D11" i="32"/>
  <c r="B11" i="32"/>
  <c r="B10" i="32"/>
  <c r="B9" i="32"/>
  <c r="B8" i="32"/>
  <c r="B4" i="32"/>
  <c r="H11" i="32" s="1"/>
  <c r="G12" i="32" s="1"/>
  <c r="H3" i="32"/>
  <c r="C65" i="31"/>
  <c r="H62" i="31"/>
  <c r="G62" i="31"/>
  <c r="H51" i="31"/>
  <c r="G51" i="31"/>
  <c r="F51" i="31"/>
  <c r="E51" i="31"/>
  <c r="D51" i="31"/>
  <c r="H50" i="31"/>
  <c r="G50" i="31"/>
  <c r="F50" i="31"/>
  <c r="E50" i="31"/>
  <c r="D50" i="31"/>
  <c r="G48" i="31"/>
  <c r="H47" i="31"/>
  <c r="G47" i="31"/>
  <c r="F47" i="31"/>
  <c r="E47" i="31"/>
  <c r="D47" i="31"/>
  <c r="H46" i="31"/>
  <c r="G46" i="31"/>
  <c r="F46" i="31"/>
  <c r="E46" i="31"/>
  <c r="D46" i="31"/>
  <c r="B27" i="31" s="1"/>
  <c r="H32" i="31"/>
  <c r="E32" i="31"/>
  <c r="E52" i="31" s="1"/>
  <c r="B28" i="31"/>
  <c r="G27" i="31"/>
  <c r="G26" i="31"/>
  <c r="B25" i="31"/>
  <c r="B20" i="31"/>
  <c r="J21" i="31"/>
  <c r="B12" i="31"/>
  <c r="D52" i="31" s="1"/>
  <c r="F70" i="30"/>
  <c r="F56" i="30" s="1"/>
  <c r="B58" i="30" s="1"/>
  <c r="F63" i="30"/>
  <c r="B57" i="30"/>
  <c r="B54" i="30"/>
  <c r="B53" i="30"/>
  <c r="E43" i="30"/>
  <c r="E39" i="30"/>
  <c r="G11" i="30" s="1"/>
  <c r="B38" i="30"/>
  <c r="G18" i="30"/>
  <c r="G17" i="30"/>
  <c r="F17" i="30"/>
  <c r="E17" i="30"/>
  <c r="G16" i="30"/>
  <c r="G23" i="30" s="1"/>
  <c r="F16" i="30"/>
  <c r="E16" i="30"/>
  <c r="E23" i="30" s="1"/>
  <c r="G12" i="30"/>
  <c r="F12" i="30"/>
  <c r="E12" i="30"/>
  <c r="F11" i="30"/>
  <c r="I8" i="30"/>
  <c r="K5" i="30"/>
  <c r="J5" i="30"/>
  <c r="I5" i="30"/>
  <c r="G5" i="30"/>
  <c r="F5" i="30"/>
  <c r="E5" i="30"/>
  <c r="F63" i="29"/>
  <c r="F49" i="29" s="1"/>
  <c r="F56" i="29"/>
  <c r="F57" i="29" s="1"/>
  <c r="B50" i="29"/>
  <c r="B47" i="29"/>
  <c r="B46" i="29" s="1"/>
  <c r="B44" i="29" s="1"/>
  <c r="K23" i="29" s="1"/>
  <c r="H39" i="29"/>
  <c r="E10" i="29" s="1"/>
  <c r="B31" i="29"/>
  <c r="C37" i="29" s="1"/>
  <c r="E9" i="29" s="1"/>
  <c r="D22" i="29"/>
  <c r="E36" i="29" s="1"/>
  <c r="I21" i="29"/>
  <c r="H21" i="29"/>
  <c r="F20" i="29"/>
  <c r="G15" i="29"/>
  <c r="G20" i="29" s="1"/>
  <c r="I14" i="29"/>
  <c r="H14" i="29"/>
  <c r="H20" i="29" s="1"/>
  <c r="G14" i="29"/>
  <c r="F14" i="29"/>
  <c r="E14" i="29"/>
  <c r="E20" i="29" s="1"/>
  <c r="I9" i="29"/>
  <c r="H9" i="29"/>
  <c r="I5" i="29"/>
  <c r="E4" i="29"/>
  <c r="F2" i="29"/>
  <c r="G2" i="29" s="1"/>
  <c r="F63" i="28"/>
  <c r="F49" i="28" s="1"/>
  <c r="F56" i="28"/>
  <c r="F57" i="28" s="1"/>
  <c r="B50" i="28"/>
  <c r="B47" i="28"/>
  <c r="B46" i="28" s="1"/>
  <c r="B44" i="28" s="1"/>
  <c r="K23" i="28" s="1"/>
  <c r="H39" i="28"/>
  <c r="I10" i="28" s="1"/>
  <c r="E36" i="28"/>
  <c r="B31" i="28"/>
  <c r="D22" i="28"/>
  <c r="D24" i="28" s="1"/>
  <c r="I21" i="28"/>
  <c r="H21" i="28"/>
  <c r="E20" i="28"/>
  <c r="I16" i="28"/>
  <c r="I20" i="28" s="1"/>
  <c r="G15" i="28"/>
  <c r="G20" i="28" s="1"/>
  <c r="I14" i="28"/>
  <c r="H14" i="28"/>
  <c r="H20" i="28" s="1"/>
  <c r="G14" i="28"/>
  <c r="F14" i="28"/>
  <c r="F20" i="28" s="1"/>
  <c r="E14" i="28"/>
  <c r="E12" i="28"/>
  <c r="H10" i="28"/>
  <c r="E10" i="28"/>
  <c r="I9" i="28"/>
  <c r="H9" i="28"/>
  <c r="I5" i="28"/>
  <c r="I4" i="28"/>
  <c r="I12" i="28" s="1"/>
  <c r="H4" i="28"/>
  <c r="H12" i="28" s="1"/>
  <c r="E4" i="28"/>
  <c r="F2" i="28"/>
  <c r="F10" i="28" s="1"/>
  <c r="F61" i="27"/>
  <c r="F47" i="27" s="1"/>
  <c r="B49" i="27" s="1"/>
  <c r="F54" i="27"/>
  <c r="B50" i="27" s="1"/>
  <c r="B48" i="27"/>
  <c r="B44" i="27"/>
  <c r="H37" i="27"/>
  <c r="B29" i="27"/>
  <c r="D20" i="27"/>
  <c r="D22" i="27" s="1"/>
  <c r="I19" i="27"/>
  <c r="H19" i="27"/>
  <c r="I18" i="27"/>
  <c r="G13" i="27"/>
  <c r="H12" i="27"/>
  <c r="H18" i="27" s="1"/>
  <c r="G12" i="27"/>
  <c r="F12" i="27"/>
  <c r="F18" i="27" s="1"/>
  <c r="E12" i="27"/>
  <c r="E18" i="27" s="1"/>
  <c r="I8" i="27"/>
  <c r="H8" i="27"/>
  <c r="I5" i="27"/>
  <c r="G2" i="27"/>
  <c r="H2" i="27" s="1"/>
  <c r="F2" i="27"/>
  <c r="F61" i="26"/>
  <c r="F47" i="26" s="1"/>
  <c r="B49" i="26" s="1"/>
  <c r="F54" i="26"/>
  <c r="B48" i="26"/>
  <c r="B44" i="26"/>
  <c r="H37" i="26"/>
  <c r="E9" i="26" s="1"/>
  <c r="B29" i="26"/>
  <c r="B37" i="26" s="1"/>
  <c r="D22" i="26"/>
  <c r="D20" i="26"/>
  <c r="E34" i="26" s="1"/>
  <c r="I19" i="26"/>
  <c r="H19" i="26"/>
  <c r="I18" i="26"/>
  <c r="G13" i="26"/>
  <c r="H12" i="26"/>
  <c r="H18" i="26" s="1"/>
  <c r="G12" i="26"/>
  <c r="F12" i="26"/>
  <c r="F18" i="26" s="1"/>
  <c r="E12" i="26"/>
  <c r="E18" i="26" s="1"/>
  <c r="I9" i="26"/>
  <c r="I8" i="26"/>
  <c r="H8" i="26"/>
  <c r="I5" i="26"/>
  <c r="I15" i="26" s="1"/>
  <c r="F2" i="26"/>
  <c r="F9" i="26" s="1"/>
  <c r="F59" i="25"/>
  <c r="F45" i="25" s="1"/>
  <c r="B47" i="25" s="1"/>
  <c r="F52" i="25"/>
  <c r="F53" i="25" s="1"/>
  <c r="B49" i="25" s="1"/>
  <c r="F51" i="25"/>
  <c r="B46" i="25"/>
  <c r="B42" i="25"/>
  <c r="B27" i="25"/>
  <c r="D18" i="25"/>
  <c r="I17" i="25"/>
  <c r="H17" i="25"/>
  <c r="G17" i="25"/>
  <c r="I11" i="25"/>
  <c r="I12" i="25" s="1"/>
  <c r="H11" i="25"/>
  <c r="G11" i="25"/>
  <c r="I10" i="25"/>
  <c r="I16" i="25" s="1"/>
  <c r="H10" i="25"/>
  <c r="H16" i="25" s="1"/>
  <c r="G10" i="25"/>
  <c r="F10" i="25"/>
  <c r="F16" i="25" s="1"/>
  <c r="E10" i="25"/>
  <c r="E16" i="25" s="1"/>
  <c r="I6" i="25"/>
  <c r="H6" i="25"/>
  <c r="H13" i="25" s="1"/>
  <c r="G6" i="25"/>
  <c r="B46" i="24"/>
  <c r="B42" i="24"/>
  <c r="E32" i="24"/>
  <c r="B27" i="24"/>
  <c r="D18" i="24"/>
  <c r="D20" i="24" s="1"/>
  <c r="I12" i="24"/>
  <c r="I11" i="24"/>
  <c r="H11" i="24"/>
  <c r="G11" i="24"/>
  <c r="I10" i="24"/>
  <c r="H10" i="24"/>
  <c r="G10" i="24"/>
  <c r="F10" i="24"/>
  <c r="F16" i="24" s="1"/>
  <c r="E10" i="24"/>
  <c r="E16" i="24" s="1"/>
  <c r="G3" i="24"/>
  <c r="B38" i="23"/>
  <c r="B27" i="23"/>
  <c r="D20" i="23"/>
  <c r="I19" i="23"/>
  <c r="E32" i="23"/>
  <c r="G10" i="23"/>
  <c r="F10" i="23"/>
  <c r="F16" i="23" s="1"/>
  <c r="E10" i="23"/>
  <c r="E16" i="23" s="1"/>
  <c r="G8" i="23"/>
  <c r="F8" i="23"/>
  <c r="E8" i="23"/>
  <c r="B42" i="22"/>
  <c r="B40" i="22" s="1"/>
  <c r="B29" i="22"/>
  <c r="D22" i="22"/>
  <c r="I12" i="22"/>
  <c r="H12" i="22"/>
  <c r="I13" i="22" s="1"/>
  <c r="I14" i="22" s="1"/>
  <c r="H11" i="22"/>
  <c r="G11" i="22"/>
  <c r="F11" i="22"/>
  <c r="E11" i="22"/>
  <c r="G22" i="21"/>
  <c r="G21" i="21"/>
  <c r="G20" i="21"/>
  <c r="F20" i="21"/>
  <c r="G14" i="21"/>
  <c r="G13" i="21"/>
  <c r="G12" i="21"/>
  <c r="H12" i="21" s="1"/>
  <c r="F12" i="21"/>
  <c r="E6" i="21"/>
  <c r="E5" i="21"/>
  <c r="F4" i="21"/>
  <c r="E4" i="21"/>
  <c r="G4" i="21" s="1"/>
  <c r="B8" i="20"/>
  <c r="C5" i="20"/>
  <c r="B25" i="19"/>
  <c r="C18" i="19" s="1"/>
  <c r="C24" i="19" s="1"/>
  <c r="F24" i="19"/>
  <c r="G20" i="19"/>
  <c r="F18" i="19"/>
  <c r="E18" i="19"/>
  <c r="E24" i="19" s="1"/>
  <c r="G16" i="19"/>
  <c r="F16" i="19"/>
  <c r="F21" i="19" s="1"/>
  <c r="E16" i="19"/>
  <c r="D16" i="19"/>
  <c r="C16" i="19"/>
  <c r="B13" i="19"/>
  <c r="D11" i="19"/>
  <c r="F8" i="19"/>
  <c r="F9" i="19" s="1"/>
  <c r="G5" i="19"/>
  <c r="F5" i="19"/>
  <c r="F11" i="19" s="1"/>
  <c r="E5" i="19"/>
  <c r="E11" i="19" s="1"/>
  <c r="D5" i="19"/>
  <c r="C5" i="19"/>
  <c r="C11" i="19" s="1"/>
  <c r="G3" i="19"/>
  <c r="F3" i="19"/>
  <c r="E3" i="19"/>
  <c r="D3" i="19"/>
  <c r="D8" i="19" s="1"/>
  <c r="C3" i="19"/>
  <c r="C8" i="19" s="1"/>
  <c r="B29" i="18"/>
  <c r="E24" i="18"/>
  <c r="E25" i="18" s="1"/>
  <c r="G23" i="18"/>
  <c r="F23" i="18"/>
  <c r="E23" i="18"/>
  <c r="D23" i="18"/>
  <c r="C23" i="18"/>
  <c r="G22" i="18"/>
  <c r="F22" i="18"/>
  <c r="G19" i="18"/>
  <c r="F19" i="18"/>
  <c r="E17" i="18"/>
  <c r="E28" i="18" s="1"/>
  <c r="D17" i="18"/>
  <c r="C17" i="18"/>
  <c r="B14" i="18"/>
  <c r="C12" i="18"/>
  <c r="G8" i="18"/>
  <c r="F8" i="18"/>
  <c r="E8" i="18"/>
  <c r="D8" i="18"/>
  <c r="C8" i="18"/>
  <c r="C9" i="18" s="1"/>
  <c r="G4" i="18"/>
  <c r="F4" i="18"/>
  <c r="E4" i="18"/>
  <c r="D4" i="18"/>
  <c r="D12" i="18" s="1"/>
  <c r="C4" i="18"/>
  <c r="B12" i="15"/>
  <c r="B13" i="15" s="1"/>
  <c r="B14" i="15" s="1"/>
  <c r="B17" i="15" s="1"/>
  <c r="E10" i="15"/>
  <c r="E12" i="15" s="1"/>
  <c r="E13" i="15" s="1"/>
  <c r="E14" i="15" s="1"/>
  <c r="E17" i="15" s="1"/>
  <c r="D10" i="15"/>
  <c r="D12" i="15" s="1"/>
  <c r="D13" i="15" s="1"/>
  <c r="D14" i="15" s="1"/>
  <c r="D17" i="15" s="1"/>
  <c r="C10" i="15"/>
  <c r="C12" i="15" s="1"/>
  <c r="C13" i="15" s="1"/>
  <c r="C14" i="15" s="1"/>
  <c r="C17" i="15" s="1"/>
  <c r="E5" i="15"/>
  <c r="D5" i="15"/>
  <c r="C5" i="15"/>
  <c r="B5" i="15"/>
  <c r="F5" i="15" s="1" a="1"/>
  <c r="F5" i="15" s="1"/>
  <c r="B10" i="14"/>
  <c r="E5" i="14"/>
  <c r="E7" i="14" s="1"/>
  <c r="E10" i="14" s="1"/>
  <c r="D2" i="14"/>
  <c r="D5" i="14" s="1"/>
  <c r="D6" i="14" s="1"/>
  <c r="C2" i="14"/>
  <c r="C5" i="14" s="1"/>
  <c r="I3" i="13"/>
  <c r="B3" i="13"/>
  <c r="I2" i="13"/>
  <c r="B2" i="13"/>
  <c r="F6" i="12"/>
  <c r="G5" i="12"/>
  <c r="F5" i="12" s="1"/>
  <c r="G3" i="12"/>
  <c r="F3" i="12" s="1"/>
  <c r="G2" i="12"/>
  <c r="F2" i="12" s="1"/>
  <c r="E9" i="11"/>
  <c r="D9" i="11"/>
  <c r="C9" i="11"/>
  <c r="B8" i="11"/>
  <c r="B9" i="11" s="1"/>
  <c r="F9" i="11" s="1"/>
  <c r="C7" i="11"/>
  <c r="B7" i="11"/>
  <c r="C6" i="11"/>
  <c r="D3" i="11"/>
  <c r="E3" i="11" s="1"/>
  <c r="F2" i="11" a="1"/>
  <c r="F2" i="11" s="1"/>
  <c r="H4" i="10"/>
  <c r="H3" i="10"/>
  <c r="D2" i="10"/>
  <c r="E2" i="10" s="1"/>
  <c r="C2" i="10"/>
  <c r="G7" i="9"/>
  <c r="F7" i="9"/>
  <c r="E7" i="9"/>
  <c r="D7" i="9"/>
  <c r="C7" i="9"/>
  <c r="I6" i="9"/>
  <c r="H6" i="9" a="1"/>
  <c r="H6" i="9" s="1"/>
  <c r="G5" i="9"/>
  <c r="F5" i="9"/>
  <c r="E5" i="9"/>
  <c r="D5" i="9"/>
  <c r="C5" i="9"/>
  <c r="I4" i="9"/>
  <c r="H4" i="9" a="1"/>
  <c r="H4" i="9"/>
  <c r="B3" i="9"/>
  <c r="C2" i="9"/>
  <c r="D2" i="9" s="1"/>
  <c r="D3" i="9" s="1"/>
  <c r="F4" i="6"/>
  <c r="D4" i="6"/>
  <c r="D3" i="6"/>
  <c r="F3" i="6" s="1"/>
  <c r="D2" i="6"/>
  <c r="F2" i="6" s="1"/>
  <c r="D3" i="4"/>
  <c r="F3" i="4" s="1"/>
  <c r="D2" i="4"/>
  <c r="F2" i="4" s="1"/>
  <c r="D3" i="3"/>
  <c r="D2" i="3"/>
  <c r="D6" i="2"/>
  <c r="D5" i="2"/>
  <c r="D4" i="2"/>
  <c r="D3" i="2"/>
  <c r="D2" i="2"/>
  <c r="H4" i="21" l="1"/>
  <c r="F5" i="21" s="1"/>
  <c r="G5" i="21" s="1"/>
  <c r="H5" i="21" s="1"/>
  <c r="N8" i="21" s="1"/>
  <c r="O8" i="21" s="1"/>
  <c r="H20" i="21"/>
  <c r="H21" i="21" s="1"/>
  <c r="E20" i="21"/>
  <c r="D36" i="38"/>
  <c r="G18" i="38"/>
  <c r="E16" i="38"/>
  <c r="E17" i="38" s="1"/>
  <c r="G23" i="35"/>
  <c r="G24" i="35" s="1"/>
  <c r="I23" i="35"/>
  <c r="I24" i="35" s="1"/>
  <c r="E16" i="35"/>
  <c r="E17" i="35" s="1"/>
  <c r="E23" i="35" s="1"/>
  <c r="H16" i="35"/>
  <c r="H17" i="35" s="1"/>
  <c r="H23" i="35" s="1"/>
  <c r="H24" i="35" s="1"/>
  <c r="E21" i="19"/>
  <c r="F29" i="31"/>
  <c r="E29" i="31"/>
  <c r="G21" i="31" s="1"/>
  <c r="G23" i="31"/>
  <c r="H55" i="31"/>
  <c r="H56" i="31" s="1"/>
  <c r="G55" i="31"/>
  <c r="C63" i="31"/>
  <c r="H3" i="31" s="1"/>
  <c r="F4" i="31" s="1"/>
  <c r="D48" i="31" s="1"/>
  <c r="D55" i="31"/>
  <c r="B39" i="28"/>
  <c r="C37" i="28"/>
  <c r="E9" i="28" s="1"/>
  <c r="G54" i="31"/>
  <c r="H54" i="31"/>
  <c r="H61" i="31" s="1"/>
  <c r="D54" i="31"/>
  <c r="B37" i="24"/>
  <c r="B36" i="24"/>
  <c r="B34" i="24"/>
  <c r="D9" i="18"/>
  <c r="F4" i="4"/>
  <c r="C3" i="9"/>
  <c r="H5" i="9"/>
  <c r="E32" i="25"/>
  <c r="D20" i="25"/>
  <c r="G18" i="27"/>
  <c r="G22" i="31"/>
  <c r="C24" i="18"/>
  <c r="F23" i="30"/>
  <c r="E42" i="32"/>
  <c r="D24" i="18"/>
  <c r="C21" i="19"/>
  <c r="C35" i="22"/>
  <c r="E6" i="22" s="1"/>
  <c r="G16" i="24"/>
  <c r="E28" i="32"/>
  <c r="O6" i="21"/>
  <c r="P6" i="21" s="1"/>
  <c r="Q5" i="31"/>
  <c r="H7" i="9"/>
  <c r="C28" i="18"/>
  <c r="E8" i="19"/>
  <c r="E9" i="19" s="1"/>
  <c r="D18" i="19"/>
  <c r="D24" i="19" s="1"/>
  <c r="H16" i="24"/>
  <c r="B40" i="24"/>
  <c r="K22" i="24" s="1"/>
  <c r="G2" i="26"/>
  <c r="G9" i="26" s="1"/>
  <c r="L5" i="30"/>
  <c r="E11" i="30"/>
  <c r="D31" i="30" s="1"/>
  <c r="B17" i="32"/>
  <c r="E34" i="32"/>
  <c r="E26" i="32" s="1"/>
  <c r="E19" i="32" s="1"/>
  <c r="I37" i="32"/>
  <c r="I46" i="32" s="1"/>
  <c r="I49" i="32" s="1"/>
  <c r="E12" i="31"/>
  <c r="N7" i="21"/>
  <c r="O7" i="21" s="1"/>
  <c r="E14" i="31"/>
  <c r="G69" i="31" s="1"/>
  <c r="G17" i="22"/>
  <c r="F17" i="22"/>
  <c r="H13" i="22"/>
  <c r="H14" i="22" s="1"/>
  <c r="H15" i="22" s="1"/>
  <c r="H16" i="22" s="1"/>
  <c r="E17" i="22"/>
  <c r="I17" i="22"/>
  <c r="E2" i="9"/>
  <c r="E3" i="9" s="1"/>
  <c r="F17" i="15" a="1"/>
  <c r="F17" i="15" s="1"/>
  <c r="D10" i="18"/>
  <c r="D11" i="18" s="1"/>
  <c r="D14" i="18" s="1"/>
  <c r="E26" i="18"/>
  <c r="E29" i="18" s="1"/>
  <c r="H13" i="21"/>
  <c r="F13" i="21"/>
  <c r="E13" i="21" s="1"/>
  <c r="C33" i="23"/>
  <c r="E13" i="23" s="1"/>
  <c r="B35" i="23"/>
  <c r="B33" i="23"/>
  <c r="I16" i="24"/>
  <c r="H14" i="25"/>
  <c r="H15" i="25" s="1"/>
  <c r="H20" i="25" s="1"/>
  <c r="H21" i="25" s="1"/>
  <c r="C25" i="18"/>
  <c r="C26" i="18" s="1"/>
  <c r="C29" i="18" s="1"/>
  <c r="F8" i="11" a="1"/>
  <c r="F8" i="11" s="1"/>
  <c r="D25" i="18"/>
  <c r="D26" i="18" s="1"/>
  <c r="D9" i="19"/>
  <c r="D10" i="19" s="1"/>
  <c r="D13" i="19" s="1"/>
  <c r="G8" i="19"/>
  <c r="G11" i="19"/>
  <c r="I9" i="27"/>
  <c r="I15" i="27" s="1"/>
  <c r="E9" i="27"/>
  <c r="E17" i="28"/>
  <c r="F12" i="18"/>
  <c r="F9" i="18"/>
  <c r="G5" i="18"/>
  <c r="E10" i="19"/>
  <c r="E13" i="19" s="1"/>
  <c r="C9" i="19"/>
  <c r="C10" i="19" s="1"/>
  <c r="C13" i="19" s="1"/>
  <c r="E14" i="22"/>
  <c r="H3" i="24"/>
  <c r="H9" i="27"/>
  <c r="H15" i="27" s="1"/>
  <c r="D51" i="32"/>
  <c r="C51" i="32" s="1"/>
  <c r="E11" i="32"/>
  <c r="H51" i="32"/>
  <c r="H54" i="32" s="1"/>
  <c r="E51" i="32"/>
  <c r="E17" i="32"/>
  <c r="B29" i="32" s="1"/>
  <c r="D7" i="14"/>
  <c r="D10" i="14" s="1"/>
  <c r="F10" i="19"/>
  <c r="F13" i="19" s="1"/>
  <c r="C22" i="19"/>
  <c r="C23" i="19"/>
  <c r="C26" i="19" s="1"/>
  <c r="E35" i="26"/>
  <c r="D48" i="30"/>
  <c r="D46" i="30"/>
  <c r="G24" i="30" s="1"/>
  <c r="D44" i="30"/>
  <c r="C44" i="30"/>
  <c r="D47" i="30"/>
  <c r="D45" i="30"/>
  <c r="F24" i="30" s="1"/>
  <c r="E9" i="18"/>
  <c r="E12" i="18"/>
  <c r="G13" i="25"/>
  <c r="G16" i="25"/>
  <c r="H11" i="30"/>
  <c r="E4" i="31"/>
  <c r="E5" i="31"/>
  <c r="C10" i="18"/>
  <c r="C11" i="18" s="1"/>
  <c r="C14" i="18" s="1"/>
  <c r="E23" i="19"/>
  <c r="E26" i="19" s="1"/>
  <c r="F2" i="9"/>
  <c r="F3" i="9" s="1"/>
  <c r="F2" i="10"/>
  <c r="G2" i="10" s="1"/>
  <c r="D6" i="11"/>
  <c r="F22" i="19"/>
  <c r="F23" i="19"/>
  <c r="F26" i="19" s="1"/>
  <c r="E22" i="19"/>
  <c r="F21" i="21"/>
  <c r="E21" i="21" s="1"/>
  <c r="I15" i="22"/>
  <c r="I16" i="22" s="1"/>
  <c r="G14" i="22"/>
  <c r="I16" i="26"/>
  <c r="I17" i="26"/>
  <c r="I22" i="26" s="1"/>
  <c r="I23" i="26" s="1"/>
  <c r="F55" i="27"/>
  <c r="B51" i="27" s="1"/>
  <c r="B42" i="27" s="1"/>
  <c r="H22" i="21"/>
  <c r="F22" i="21"/>
  <c r="E22" i="21" s="1"/>
  <c r="C6" i="14"/>
  <c r="C7" i="14" s="1"/>
  <c r="C10" i="14" s="1"/>
  <c r="G20" i="18"/>
  <c r="G24" i="18" s="1"/>
  <c r="F24" i="18"/>
  <c r="F28" i="18"/>
  <c r="E12" i="21"/>
  <c r="B34" i="23"/>
  <c r="F55" i="26"/>
  <c r="B51" i="26" s="1"/>
  <c r="B50" i="26"/>
  <c r="B42" i="26" s="1"/>
  <c r="E34" i="27"/>
  <c r="I17" i="28"/>
  <c r="F9" i="27"/>
  <c r="E6" i="32"/>
  <c r="D54" i="32"/>
  <c r="C33" i="24"/>
  <c r="E6" i="24" s="1"/>
  <c r="E13" i="24" s="1"/>
  <c r="B35" i="24"/>
  <c r="C35" i="26"/>
  <c r="E8" i="26" s="1"/>
  <c r="E15" i="26" s="1"/>
  <c r="B36" i="26"/>
  <c r="G9" i="27"/>
  <c r="H2" i="29"/>
  <c r="G10" i="29"/>
  <c r="G4" i="29"/>
  <c r="F10" i="29"/>
  <c r="E5" i="32"/>
  <c r="F4" i="32"/>
  <c r="F51" i="32"/>
  <c r="F42" i="32"/>
  <c r="J37" i="32"/>
  <c r="F46" i="32"/>
  <c r="G12" i="23"/>
  <c r="G16" i="23" s="1"/>
  <c r="B33" i="24"/>
  <c r="I13" i="25"/>
  <c r="B33" i="25"/>
  <c r="G18" i="26"/>
  <c r="H17" i="28"/>
  <c r="E12" i="29"/>
  <c r="E17" i="29" s="1"/>
  <c r="B59" i="30"/>
  <c r="B51" i="30" s="1"/>
  <c r="F64" i="30"/>
  <c r="B60" i="30" s="1"/>
  <c r="F32" i="31"/>
  <c r="E37" i="31"/>
  <c r="G61" i="31"/>
  <c r="G37" i="32"/>
  <c r="G18" i="19"/>
  <c r="B26" i="19"/>
  <c r="B36" i="22"/>
  <c r="F4" i="29"/>
  <c r="B34" i="32"/>
  <c r="C41" i="32" s="1"/>
  <c r="D28" i="18"/>
  <c r="B48" i="25"/>
  <c r="B40" i="25" s="1"/>
  <c r="K19" i="25" s="1"/>
  <c r="B35" i="26"/>
  <c r="D35" i="26" s="1"/>
  <c r="E19" i="26" s="1"/>
  <c r="I16" i="29"/>
  <c r="I20" i="29" s="1"/>
  <c r="L49" i="32"/>
  <c r="L54" i="32" s="1"/>
  <c r="F4" i="28"/>
  <c r="G2" i="28"/>
  <c r="D38" i="29"/>
  <c r="F21" i="29" s="1"/>
  <c r="D39" i="29"/>
  <c r="G21" i="29" s="1"/>
  <c r="D37" i="29"/>
  <c r="E21" i="29" s="1"/>
  <c r="B37" i="29"/>
  <c r="I9" i="30"/>
  <c r="J8" i="30" s="1"/>
  <c r="K8" i="30" s="1"/>
  <c r="E55" i="31"/>
  <c r="M37" i="32"/>
  <c r="E46" i="32"/>
  <c r="B38" i="28"/>
  <c r="D35" i="31"/>
  <c r="H52" i="31"/>
  <c r="F55" i="31"/>
  <c r="E54" i="31"/>
  <c r="E61" i="31" s="1"/>
  <c r="E4" i="32"/>
  <c r="G4" i="32" s="1"/>
  <c r="F54" i="31"/>
  <c r="B37" i="28"/>
  <c r="D37" i="28" s="1"/>
  <c r="D24" i="29"/>
  <c r="L51" i="32"/>
  <c r="P7" i="21" l="1"/>
  <c r="E19" i="38"/>
  <c r="E23" i="38" s="1"/>
  <c r="E24" i="38" s="1"/>
  <c r="E36" i="38"/>
  <c r="C37" i="38" s="1"/>
  <c r="F6" i="38" s="1"/>
  <c r="F15" i="38" s="1"/>
  <c r="F16" i="38" s="1"/>
  <c r="F17" i="38" s="1"/>
  <c r="E24" i="35"/>
  <c r="F15" i="35"/>
  <c r="F10" i="14" a="1"/>
  <c r="F10" i="14" s="1"/>
  <c r="I51" i="32"/>
  <c r="I54" i="32" s="1"/>
  <c r="D21" i="19"/>
  <c r="D33" i="24"/>
  <c r="E6" i="31"/>
  <c r="H17" i="22"/>
  <c r="H2" i="26"/>
  <c r="H9" i="26" s="1"/>
  <c r="H15" i="26" s="1"/>
  <c r="H16" i="26" s="1"/>
  <c r="H17" i="26" s="1"/>
  <c r="H22" i="26" s="1"/>
  <c r="H23" i="26" s="1"/>
  <c r="D35" i="22"/>
  <c r="G2" i="9"/>
  <c r="G3" i="9" s="1"/>
  <c r="H3" i="9" s="1"/>
  <c r="G4" i="31"/>
  <c r="D62" i="31" s="1"/>
  <c r="L4" i="31"/>
  <c r="K5" i="31"/>
  <c r="K6" i="31"/>
  <c r="K4" i="31"/>
  <c r="M4" i="31" s="1"/>
  <c r="N4" i="31" s="1"/>
  <c r="L5" i="31" s="1"/>
  <c r="F61" i="31"/>
  <c r="I42" i="32"/>
  <c r="C33" i="25"/>
  <c r="E6" i="25" s="1"/>
  <c r="E13" i="25" s="1"/>
  <c r="B34" i="25"/>
  <c r="D61" i="31"/>
  <c r="P8" i="21"/>
  <c r="I22" i="22"/>
  <c r="I23" i="22" s="1"/>
  <c r="H22" i="22"/>
  <c r="H23" i="22" s="1"/>
  <c r="G25" i="18"/>
  <c r="G26" i="18" s="1"/>
  <c r="E18" i="29"/>
  <c r="E19" i="29" s="1"/>
  <c r="E24" i="29" s="1"/>
  <c r="G10" i="28"/>
  <c r="G4" i="28"/>
  <c r="E35" i="31"/>
  <c r="E43" i="31" s="1"/>
  <c r="G35" i="31"/>
  <c r="F35" i="31"/>
  <c r="F43" i="31" s="1"/>
  <c r="D43" i="31"/>
  <c r="B23" i="31" s="1"/>
  <c r="H35" i="31"/>
  <c r="H43" i="31" s="1"/>
  <c r="I18" i="28"/>
  <c r="I19" i="28" s="1"/>
  <c r="I24" i="28" s="1"/>
  <c r="F25" i="18"/>
  <c r="F26" i="18" s="1"/>
  <c r="F29" i="18" s="1"/>
  <c r="B44" i="30"/>
  <c r="E10" i="30"/>
  <c r="E20" i="30" s="1"/>
  <c r="H14" i="21"/>
  <c r="F14" i="21"/>
  <c r="E14" i="21" s="1"/>
  <c r="E21" i="28"/>
  <c r="E37" i="28"/>
  <c r="F12" i="29"/>
  <c r="E17" i="24"/>
  <c r="E33" i="24"/>
  <c r="E16" i="26"/>
  <c r="E17" i="26" s="1"/>
  <c r="E22" i="26" s="1"/>
  <c r="B37" i="27"/>
  <c r="B35" i="27"/>
  <c r="C35" i="27"/>
  <c r="E8" i="27" s="1"/>
  <c r="E15" i="27" s="1"/>
  <c r="B36" i="27"/>
  <c r="G14" i="25"/>
  <c r="G15" i="25" s="1"/>
  <c r="G20" i="25" s="1"/>
  <c r="G21" i="25" s="1"/>
  <c r="E24" i="30"/>
  <c r="E44" i="30"/>
  <c r="E15" i="22"/>
  <c r="E16" i="22" s="1"/>
  <c r="I2" i="9"/>
  <c r="H42" i="32"/>
  <c r="G51" i="32"/>
  <c r="K37" i="32"/>
  <c r="G42" i="32"/>
  <c r="G46" i="32"/>
  <c r="L55" i="32"/>
  <c r="L56" i="32" s="1"/>
  <c r="L62" i="32" s="1"/>
  <c r="G15" i="22"/>
  <c r="G16" i="22" s="1"/>
  <c r="G22" i="22" s="1"/>
  <c r="G23" i="22" s="1"/>
  <c r="F11" i="18"/>
  <c r="F14" i="18" s="1"/>
  <c r="F10" i="18"/>
  <c r="E37" i="29"/>
  <c r="F49" i="32"/>
  <c r="F54" i="32" s="1"/>
  <c r="H2" i="10"/>
  <c r="F6" i="21"/>
  <c r="G6" i="21" s="1"/>
  <c r="H6" i="21" s="1"/>
  <c r="G9" i="19"/>
  <c r="G10" i="19" s="1"/>
  <c r="G13" i="19" s="1"/>
  <c r="H13" i="19" s="1" a="1"/>
  <c r="H13" i="19" s="1"/>
  <c r="D33" i="23"/>
  <c r="G28" i="18"/>
  <c r="I55" i="32"/>
  <c r="I56" i="32"/>
  <c r="I62" i="32" s="1"/>
  <c r="D55" i="32"/>
  <c r="D56" i="32" s="1"/>
  <c r="F52" i="31"/>
  <c r="G32" i="31"/>
  <c r="F37" i="31"/>
  <c r="I14" i="25"/>
  <c r="I15" i="25" s="1"/>
  <c r="I20" i="25" s="1"/>
  <c r="I21" i="25" s="1"/>
  <c r="E49" i="32"/>
  <c r="E54" i="32" s="1"/>
  <c r="H2" i="9" a="1"/>
  <c r="H2" i="9" s="1"/>
  <c r="D58" i="32"/>
  <c r="H4" i="32"/>
  <c r="M42" i="32"/>
  <c r="M46" i="32"/>
  <c r="M51" i="32"/>
  <c r="D29" i="18"/>
  <c r="G19" i="19"/>
  <c r="G21" i="19" s="1"/>
  <c r="H18" i="28"/>
  <c r="H19" i="28" s="1"/>
  <c r="H24" i="28" s="1"/>
  <c r="J46" i="32"/>
  <c r="J51" i="32"/>
  <c r="J42" i="32"/>
  <c r="G12" i="29"/>
  <c r="E14" i="24"/>
  <c r="E15" i="24" s="1"/>
  <c r="E20" i="24" s="1"/>
  <c r="H16" i="27"/>
  <c r="H17" i="27" s="1"/>
  <c r="H22" i="27" s="1"/>
  <c r="E14" i="23"/>
  <c r="E15" i="23" s="1"/>
  <c r="E10" i="18"/>
  <c r="E11" i="18" s="1"/>
  <c r="E14" i="18" s="1"/>
  <c r="C36" i="26"/>
  <c r="F8" i="26" s="1"/>
  <c r="F15" i="26" s="1"/>
  <c r="E18" i="28"/>
  <c r="E19" i="28" s="1"/>
  <c r="E24" i="28" s="1"/>
  <c r="F12" i="28"/>
  <c r="H55" i="32"/>
  <c r="H56" i="32" s="1"/>
  <c r="H62" i="32" s="1"/>
  <c r="I2" i="29"/>
  <c r="H10" i="29"/>
  <c r="H4" i="29"/>
  <c r="D43" i="32"/>
  <c r="D41" i="32"/>
  <c r="E6" i="11"/>
  <c r="D7" i="11"/>
  <c r="I3" i="24"/>
  <c r="G9" i="18"/>
  <c r="G12" i="18"/>
  <c r="I16" i="27"/>
  <c r="I17" i="27"/>
  <c r="I22" i="27" s="1"/>
  <c r="D37" i="38" l="1"/>
  <c r="F19" i="38" s="1"/>
  <c r="F23" i="38" s="1"/>
  <c r="E37" i="38"/>
  <c r="C38" i="38" s="1"/>
  <c r="F16" i="35"/>
  <c r="F17" i="35" s="1"/>
  <c r="F23" i="35" s="1"/>
  <c r="E14" i="25"/>
  <c r="E15" i="25"/>
  <c r="D22" i="19"/>
  <c r="D23" i="19"/>
  <c r="D26" i="19" s="1"/>
  <c r="D62" i="32"/>
  <c r="D35" i="27"/>
  <c r="E19" i="27" s="1"/>
  <c r="H4" i="31"/>
  <c r="F5" i="31" s="1"/>
  <c r="E48" i="31" s="1"/>
  <c r="E58" i="31" s="1"/>
  <c r="M5" i="31"/>
  <c r="N5" i="31" s="1"/>
  <c r="D33" i="25"/>
  <c r="G29" i="18"/>
  <c r="H29" i="18" s="1" a="1"/>
  <c r="H29" i="18" s="1"/>
  <c r="D36" i="26"/>
  <c r="F19" i="26" s="1"/>
  <c r="E18" i="22"/>
  <c r="E22" i="22" s="1"/>
  <c r="E23" i="22" s="1"/>
  <c r="E35" i="22"/>
  <c r="C36" i="22" s="1"/>
  <c r="F6" i="22" s="1"/>
  <c r="F14" i="22" s="1"/>
  <c r="F55" i="32"/>
  <c r="F56" i="32" s="1"/>
  <c r="E25" i="29"/>
  <c r="E55" i="32"/>
  <c r="E56" i="32"/>
  <c r="E21" i="30"/>
  <c r="E22" i="30" s="1"/>
  <c r="E31" i="30" s="1"/>
  <c r="H37" i="31"/>
  <c r="G37" i="31"/>
  <c r="G52" i="31"/>
  <c r="C38" i="28"/>
  <c r="H49" i="31"/>
  <c r="H58" i="31" s="1"/>
  <c r="K51" i="32"/>
  <c r="K42" i="32"/>
  <c r="K46" i="32"/>
  <c r="L42" i="32"/>
  <c r="E23" i="26"/>
  <c r="G49" i="32"/>
  <c r="G54" i="32" s="1"/>
  <c r="G10" i="18"/>
  <c r="G11" i="18" s="1"/>
  <c r="G14" i="18" s="1"/>
  <c r="H14" i="18" s="1" a="1"/>
  <c r="H14" i="18" s="1"/>
  <c r="H30" i="18" s="1"/>
  <c r="E41" i="32"/>
  <c r="E43" i="32"/>
  <c r="G22" i="19"/>
  <c r="G23" i="19" s="1"/>
  <c r="G26" i="19" s="1"/>
  <c r="H26" i="19" s="1" a="1"/>
  <c r="H26" i="19" s="1"/>
  <c r="G24" i="19"/>
  <c r="D36" i="22"/>
  <c r="E20" i="23"/>
  <c r="E33" i="23"/>
  <c r="D49" i="31"/>
  <c r="B26" i="31" s="1"/>
  <c r="B29" i="31" s="1"/>
  <c r="C36" i="31" s="1"/>
  <c r="F5" i="32"/>
  <c r="G5" i="32" s="1"/>
  <c r="E58" i="32" s="1"/>
  <c r="C45" i="30"/>
  <c r="E45" i="30"/>
  <c r="C34" i="24"/>
  <c r="F49" i="31"/>
  <c r="E7" i="11"/>
  <c r="F7" i="11" s="1"/>
  <c r="F6" i="11" a="1"/>
  <c r="F6" i="11" s="1"/>
  <c r="F15" i="22"/>
  <c r="F16" i="22" s="1"/>
  <c r="G43" i="31"/>
  <c r="F16" i="26"/>
  <c r="F17" i="26" s="1"/>
  <c r="F22" i="26" s="1"/>
  <c r="F23" i="26" s="1"/>
  <c r="M49" i="32"/>
  <c r="M54" i="32"/>
  <c r="E38" i="29"/>
  <c r="C38" i="29"/>
  <c r="E16" i="27"/>
  <c r="E17" i="27" s="1"/>
  <c r="E22" i="27" s="1"/>
  <c r="E49" i="31"/>
  <c r="H12" i="29"/>
  <c r="H17" i="29" s="1"/>
  <c r="I10" i="29"/>
  <c r="I4" i="29"/>
  <c r="E36" i="26"/>
  <c r="J49" i="32"/>
  <c r="J54" i="32" s="1"/>
  <c r="E35" i="27"/>
  <c r="G12" i="28"/>
  <c r="F24" i="38" l="1"/>
  <c r="D38" i="38"/>
  <c r="G6" i="38"/>
  <c r="G15" i="38" s="1"/>
  <c r="G16" i="38" s="1"/>
  <c r="G17" i="38" s="1"/>
  <c r="F24" i="35"/>
  <c r="E25" i="35" s="1"/>
  <c r="J23" i="35" a="1"/>
  <c r="J23" i="35" s="1"/>
  <c r="G5" i="31"/>
  <c r="E17" i="25"/>
  <c r="E20" i="25" s="1"/>
  <c r="E21" i="25" s="1"/>
  <c r="E33" i="25"/>
  <c r="C34" i="25" s="1"/>
  <c r="L6" i="31"/>
  <c r="M6" i="31" s="1"/>
  <c r="N6" i="31" s="1"/>
  <c r="G55" i="32"/>
  <c r="G56" i="32" s="1"/>
  <c r="G62" i="32" s="1"/>
  <c r="E21" i="23"/>
  <c r="I26" i="19"/>
  <c r="J26" i="19"/>
  <c r="I13" i="19"/>
  <c r="H18" i="29"/>
  <c r="H19" i="29"/>
  <c r="H24" i="29" s="1"/>
  <c r="H25" i="29" s="1"/>
  <c r="D38" i="31"/>
  <c r="D36" i="31"/>
  <c r="D66" i="31" s="1"/>
  <c r="C66" i="31"/>
  <c r="H59" i="31"/>
  <c r="H60" i="31" s="1"/>
  <c r="J55" i="32"/>
  <c r="J56" i="32" s="1"/>
  <c r="J62" i="32" s="1"/>
  <c r="G49" i="31"/>
  <c r="G58" i="31"/>
  <c r="F6" i="24"/>
  <c r="F13" i="24" s="1"/>
  <c r="D34" i="24"/>
  <c r="E62" i="31"/>
  <c r="H5" i="31"/>
  <c r="D58" i="31"/>
  <c r="F9" i="29"/>
  <c r="F17" i="29" s="1"/>
  <c r="B38" i="29"/>
  <c r="C34" i="23"/>
  <c r="F43" i="32"/>
  <c r="F41" i="32"/>
  <c r="F9" i="28"/>
  <c r="F17" i="28" s="1"/>
  <c r="D38" i="28"/>
  <c r="E62" i="32"/>
  <c r="C36" i="27"/>
  <c r="C46" i="30"/>
  <c r="E46" i="30"/>
  <c r="F18" i="22"/>
  <c r="F22" i="22" s="1"/>
  <c r="E36" i="22"/>
  <c r="C37" i="26"/>
  <c r="E39" i="29"/>
  <c r="C39" i="29"/>
  <c r="I12" i="29"/>
  <c r="I17" i="29"/>
  <c r="M55" i="32"/>
  <c r="M56" i="32"/>
  <c r="M62" i="32" s="1"/>
  <c r="B45" i="30"/>
  <c r="F10" i="30"/>
  <c r="F20" i="30" s="1"/>
  <c r="K49" i="32"/>
  <c r="K54" i="32" s="1"/>
  <c r="F6" i="25"/>
  <c r="F13" i="25" s="1"/>
  <c r="D34" i="25"/>
  <c r="E59" i="31"/>
  <c r="E60" i="31"/>
  <c r="H5" i="32"/>
  <c r="E38" i="38" l="1"/>
  <c r="G19" i="38"/>
  <c r="G23" i="38" s="1"/>
  <c r="F23" i="22"/>
  <c r="E24" i="22" s="1"/>
  <c r="J22" i="22" a="1"/>
  <c r="J22" i="22" s="1"/>
  <c r="K55" i="32"/>
  <c r="K56" i="32" s="1"/>
  <c r="K62" i="32" s="1"/>
  <c r="G8" i="26"/>
  <c r="G15" i="26" s="1"/>
  <c r="D37" i="26"/>
  <c r="F17" i="24"/>
  <c r="E34" i="24"/>
  <c r="F14" i="24"/>
  <c r="F15" i="24" s="1"/>
  <c r="F20" i="24" s="1"/>
  <c r="C68" i="31"/>
  <c r="F21" i="30"/>
  <c r="F22" i="30" s="1"/>
  <c r="F31" i="30" s="1"/>
  <c r="F6" i="32"/>
  <c r="G6" i="32" s="1"/>
  <c r="F58" i="32" s="1"/>
  <c r="F62" i="32" s="1"/>
  <c r="H63" i="32" s="1" a="1"/>
  <c r="H63" i="32" s="1"/>
  <c r="D59" i="31"/>
  <c r="D60" i="31" s="1"/>
  <c r="D68" i="31" s="1"/>
  <c r="G59" i="31"/>
  <c r="G60" i="31" s="1"/>
  <c r="F6" i="31"/>
  <c r="E36" i="31"/>
  <c r="E66" i="31" s="1"/>
  <c r="E68" i="31" s="1"/>
  <c r="E38" i="31"/>
  <c r="F18" i="29"/>
  <c r="F19" i="29" s="1"/>
  <c r="F24" i="29" s="1"/>
  <c r="F14" i="25"/>
  <c r="F15" i="25" s="1"/>
  <c r="F20" i="25" s="1"/>
  <c r="F21" i="28"/>
  <c r="E38" i="28"/>
  <c r="F17" i="25"/>
  <c r="E34" i="25"/>
  <c r="C47" i="30"/>
  <c r="B47" i="30" s="1"/>
  <c r="E47" i="30"/>
  <c r="B46" i="30"/>
  <c r="G10" i="30"/>
  <c r="G20" i="30" s="1"/>
  <c r="G9" i="29"/>
  <c r="G17" i="29" s="1"/>
  <c r="B39" i="29"/>
  <c r="F8" i="27"/>
  <c r="F15" i="27" s="1"/>
  <c r="D36" i="27"/>
  <c r="G41" i="32"/>
  <c r="G43" i="32"/>
  <c r="F18" i="28"/>
  <c r="F19" i="28" s="1"/>
  <c r="I18" i="29"/>
  <c r="I19" i="29" s="1"/>
  <c r="I24" i="29" s="1"/>
  <c r="I25" i="29" s="1"/>
  <c r="F13" i="23"/>
  <c r="D34" i="23"/>
  <c r="G24" i="38" l="1"/>
  <c r="E25" i="38" s="1"/>
  <c r="H23" i="38"/>
  <c r="F24" i="28"/>
  <c r="F21" i="25"/>
  <c r="J21" i="25" s="1"/>
  <c r="J20" i="25" a="1"/>
  <c r="J20" i="25" s="1"/>
  <c r="F25" i="29"/>
  <c r="G21" i="30"/>
  <c r="G22" i="30" s="1"/>
  <c r="G31" i="30" s="1"/>
  <c r="H31" i="30" s="1" a="1"/>
  <c r="H31" i="30" s="1"/>
  <c r="G19" i="26"/>
  <c r="E37" i="26"/>
  <c r="H43" i="32"/>
  <c r="G16" i="26"/>
  <c r="G17" i="26"/>
  <c r="G22" i="26" s="1"/>
  <c r="C48" i="30"/>
  <c r="B48" i="30" s="1"/>
  <c r="E48" i="30"/>
  <c r="F19" i="27"/>
  <c r="E36" i="27"/>
  <c r="F14" i="23"/>
  <c r="F15" i="23" s="1"/>
  <c r="F16" i="27"/>
  <c r="F17" i="27" s="1"/>
  <c r="F38" i="31"/>
  <c r="F36" i="31"/>
  <c r="F66" i="31" s="1"/>
  <c r="F48" i="31"/>
  <c r="F58" i="31" s="1"/>
  <c r="G6" i="31"/>
  <c r="C39" i="28"/>
  <c r="E34" i="23"/>
  <c r="G18" i="29"/>
  <c r="G19" i="29"/>
  <c r="G24" i="29" s="1"/>
  <c r="G25" i="29" s="1"/>
  <c r="H6" i="32"/>
  <c r="C35" i="24"/>
  <c r="F22" i="27" l="1"/>
  <c r="J24" i="29" a="1"/>
  <c r="J24" i="29" s="1"/>
  <c r="F20" i="23"/>
  <c r="G23" i="26"/>
  <c r="J23" i="26" s="1"/>
  <c r="J22" i="26" a="1"/>
  <c r="J22" i="26" s="1"/>
  <c r="F62" i="31"/>
  <c r="H6" i="31"/>
  <c r="K25" i="29"/>
  <c r="G9" i="28"/>
  <c r="G17" i="28" s="1"/>
  <c r="D39" i="28"/>
  <c r="F59" i="31"/>
  <c r="F60" i="31"/>
  <c r="J25" i="29"/>
  <c r="C37" i="27"/>
  <c r="G36" i="31"/>
  <c r="G66" i="31" s="1"/>
  <c r="G68" i="31" s="1"/>
  <c r="G38" i="31"/>
  <c r="G6" i="24"/>
  <c r="G13" i="24" s="1"/>
  <c r="D35" i="24"/>
  <c r="C35" i="23"/>
  <c r="F21" i="23" l="1"/>
  <c r="H67" i="31"/>
  <c r="F68" i="31"/>
  <c r="G13" i="23"/>
  <c r="D35" i="23"/>
  <c r="G17" i="24"/>
  <c r="E35" i="24"/>
  <c r="H38" i="31"/>
  <c r="H36" i="31"/>
  <c r="H66" i="31" s="1"/>
  <c r="G21" i="28"/>
  <c r="E39" i="28"/>
  <c r="G14" i="24"/>
  <c r="G15" i="24" s="1"/>
  <c r="G20" i="24" s="1"/>
  <c r="G8" i="27"/>
  <c r="G15" i="27" s="1"/>
  <c r="D37" i="27"/>
  <c r="G18" i="28"/>
  <c r="G19" i="28" s="1"/>
  <c r="G24" i="28" s="1"/>
  <c r="J24" i="28" s="1" a="1"/>
  <c r="J24" i="28" s="1"/>
  <c r="H72" i="31" l="1"/>
  <c r="H68" i="31"/>
  <c r="H69" i="31" s="1" a="1"/>
  <c r="H69" i="31" s="1"/>
  <c r="G19" i="27"/>
  <c r="E37" i="27"/>
  <c r="C36" i="24"/>
  <c r="E35" i="23"/>
  <c r="G16" i="27"/>
  <c r="G17" i="27"/>
  <c r="G22" i="27" s="1"/>
  <c r="J22" i="27" s="1" a="1"/>
  <c r="J22" i="27" s="1"/>
  <c r="K23" i="27" s="1"/>
  <c r="G14" i="23"/>
  <c r="G15" i="23" s="1"/>
  <c r="G20" i="23" l="1"/>
  <c r="H6" i="24"/>
  <c r="H13" i="24" s="1"/>
  <c r="D36" i="24"/>
  <c r="G21" i="23" l="1"/>
  <c r="H21" i="23" s="1"/>
  <c r="H20" i="23"/>
  <c r="H17" i="24"/>
  <c r="E36" i="24"/>
  <c r="H14" i="24"/>
  <c r="H15" i="24"/>
  <c r="H20" i="24" s="1"/>
  <c r="C37" i="24" l="1"/>
  <c r="I6" i="24" l="1"/>
  <c r="I13" i="24" s="1"/>
  <c r="D37" i="24"/>
  <c r="I17" i="24" l="1"/>
  <c r="E37" i="24"/>
  <c r="I14" i="24"/>
  <c r="I15" i="24"/>
  <c r="I20" i="24" s="1"/>
  <c r="J20" i="24" s="1" a="1"/>
  <c r="J20" i="24" s="1"/>
  <c r="J152" i="72"/>
  <c r="M41" i="32" l="1"/>
  <c r="L43" i="32"/>
  <c r="M43" i="32"/>
  <c r="K41" i="32"/>
  <c r="I41" i="32"/>
  <c r="J41" i="32"/>
  <c r="H41" i="32"/>
  <c r="I43" i="32"/>
  <c r="J43" i="32"/>
  <c r="K43" i="32"/>
  <c r="L41"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Toris</author>
  </authors>
  <commentList>
    <comment ref="K2" authorId="0" shapeId="0" xr:uid="{00000000-0006-0000-1400-000001000000}">
      <text>
        <r>
          <rPr>
            <b/>
            <sz val="9"/>
            <color indexed="81"/>
            <rFont val="Tahoma"/>
            <family val="2"/>
          </rPr>
          <t>Toris:</t>
        </r>
        <r>
          <rPr>
            <sz val="9"/>
            <color indexed="81"/>
            <rFont val="Tahoma"/>
            <family val="2"/>
          </rPr>
          <t xml:space="preserve">
C= valor total de la cuota correspondiente a pagar
P= prestamo
i = tasa interes
n= plazo del credito</t>
        </r>
      </text>
    </comment>
    <comment ref="K3" authorId="0" shapeId="0" xr:uid="{00000000-0006-0000-1400-000002000000}">
      <text>
        <r>
          <rPr>
            <b/>
            <sz val="9"/>
            <color indexed="81"/>
            <rFont val="Tahoma"/>
            <family val="2"/>
          </rPr>
          <t>Toris:</t>
        </r>
        <r>
          <rPr>
            <sz val="9"/>
            <color indexed="81"/>
            <rFont val="Tahoma"/>
            <family val="2"/>
          </rPr>
          <t xml:space="preserve">
i= intereses que cobra el credito en el periodo x
C= saldo de capital del credito al inicio del periodo y que genera intereses en el periodo x</t>
        </r>
      </text>
    </comment>
    <comment ref="K4" authorId="0" shapeId="0" xr:uid="{00000000-0006-0000-1400-000003000000}">
      <text>
        <r>
          <rPr>
            <b/>
            <sz val="9"/>
            <color indexed="81"/>
            <rFont val="Tahoma"/>
            <family val="2"/>
          </rPr>
          <t>Toris:</t>
        </r>
        <r>
          <rPr>
            <sz val="9"/>
            <color indexed="81"/>
            <rFont val="Tahoma"/>
            <family val="2"/>
          </rPr>
          <t xml:space="preserve">
a= amortizacion del capital en el periodo x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00000000-0006-0000-1D00-000001000000}">
      <text>
        <r>
          <rPr>
            <sz val="10"/>
            <color rgb="FF000000"/>
            <rFont val="Arial"/>
            <family val="2"/>
          </rPr>
          <t xml:space="preserve">Sale del campo de prestamo del FF
</t>
        </r>
      </text>
    </comment>
    <comment ref="D19" authorId="0" shapeId="0" xr:uid="{00000000-0006-0000-1D00-000002000000}">
      <text>
        <r>
          <rPr>
            <sz val="10"/>
            <color rgb="FF000000"/>
            <rFont val="Arial"/>
            <family val="2"/>
          </rPr>
          <t>KeX1 + KdX2* (1-t)</t>
        </r>
      </text>
    </comment>
    <comment ref="D21" authorId="0" shapeId="0" xr:uid="{00000000-0006-0000-1D00-000003000000}">
      <text>
        <r>
          <rPr>
            <sz val="10"/>
            <color rgb="FF000000"/>
            <rFont val="Arial"/>
            <family val="2"/>
          </rPr>
          <t>Krf + B (Km - Krf)</t>
        </r>
      </text>
    </comment>
    <comment ref="D22" authorId="0" shapeId="0" xr:uid="{00000000-0006-0000-1D00-000004000000}">
      <text>
        <r>
          <rPr>
            <sz val="10"/>
            <color rgb="FF000000"/>
            <rFont val="Arial"/>
            <family val="2"/>
          </rPr>
          <t>Tasa de los bonos de tesoro de usa
'Tasa libre de riesgo'</t>
        </r>
      </text>
    </comment>
    <comment ref="D23" authorId="0" shapeId="0" xr:uid="{00000000-0006-0000-1D00-000005000000}">
      <text>
        <r>
          <rPr>
            <sz val="10"/>
            <color rgb="FF000000"/>
            <rFont val="Arial"/>
            <family val="2"/>
          </rPr>
          <t>Riesgo que yo tengo.
Si la empresa esta perfectamente correlacionada con el mercado, el valor es 1</t>
        </r>
      </text>
    </comment>
    <comment ref="D24" authorId="0" shapeId="0" xr:uid="{00000000-0006-0000-1D00-000006000000}">
      <text>
        <r>
          <rPr>
            <sz val="10"/>
            <color rgb="FF000000"/>
            <rFont val="Arial"/>
            <family val="2"/>
          </rPr>
          <t xml:space="preserve">Rentabilidad del mercado (X mejores empresas del mercado)
'valor esperado del mercado'
Rendimiento
</t>
        </r>
      </text>
    </comment>
    <comment ref="D25" authorId="0" shapeId="0" xr:uid="{00000000-0006-0000-1D00-000007000000}">
      <text>
        <r>
          <rPr>
            <sz val="10"/>
            <color rgb="FF000000"/>
            <rFont val="Arial"/>
            <family val="2"/>
          </rPr>
          <t xml:space="preserve">impuesto a las ganancias / Impuesto utilidad
</t>
        </r>
      </text>
    </comment>
    <comment ref="D26" authorId="0" shapeId="0" xr:uid="{00000000-0006-0000-1D00-000008000000}">
      <text>
        <r>
          <rPr>
            <sz val="10"/>
            <color rgb="FF000000"/>
            <rFont val="Arial"/>
            <family val="2"/>
          </rPr>
          <t xml:space="preserve">Costo de la deuda
</t>
        </r>
      </text>
    </comment>
    <comment ref="D27" authorId="0" shapeId="0" xr:uid="{00000000-0006-0000-1D00-000009000000}">
      <text>
        <r>
          <rPr>
            <sz val="10"/>
            <color rgb="FF000000"/>
            <rFont val="Arial"/>
            <family val="2"/>
          </rPr>
          <t xml:space="preserve">% de capital propio con el que me financio
</t>
        </r>
      </text>
    </comment>
    <comment ref="D28" authorId="0" shapeId="0" xr:uid="{00000000-0006-0000-1D00-00000A000000}">
      <text>
        <r>
          <rPr>
            <sz val="10"/>
            <color rgb="FF000000"/>
            <rFont val="Arial"/>
            <family val="2"/>
          </rPr>
          <t xml:space="preserve">% de capitala ajeno con el que me financio
</t>
        </r>
      </text>
    </comment>
    <comment ref="E31" authorId="0" shapeId="0" xr:uid="{00000000-0006-0000-1D00-00000B000000}">
      <text>
        <r>
          <rPr>
            <sz val="10"/>
            <color rgb="FF000000"/>
            <rFont val="Arial"/>
            <family val="2"/>
          </rPr>
          <t xml:space="preserve">Acciones
</t>
        </r>
      </text>
    </comment>
    <comment ref="F31" authorId="0" shapeId="0" xr:uid="{00000000-0006-0000-1D00-00000C000000}">
      <text>
        <r>
          <rPr>
            <sz val="10"/>
            <color rgb="FF000000"/>
            <rFont val="Arial"/>
            <family val="2"/>
          </rPr>
          <t xml:space="preserve">Costo de la accion
</t>
        </r>
      </text>
    </comment>
    <comment ref="B58" authorId="0" shapeId="0" xr:uid="{00000000-0006-0000-1D00-00000D000000}">
      <text>
        <r>
          <rPr>
            <sz val="10"/>
            <color rgb="FF000000"/>
            <rFont val="Arial"/>
            <family val="2"/>
          </rPr>
          <t xml:space="preserve">Sale del Prestamo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38" authorId="0" shapeId="0" xr:uid="{00000000-0006-0000-1E00-000001000000}">
      <text>
        <r>
          <rPr>
            <sz val="10"/>
            <color rgb="FF000000"/>
            <rFont val="Arial"/>
            <family val="2"/>
          </rPr>
          <t>KeX1 + KdX2* (1-t)</t>
        </r>
      </text>
    </comment>
    <comment ref="A40" authorId="0" shapeId="0" xr:uid="{00000000-0006-0000-1E00-000002000000}">
      <text>
        <r>
          <rPr>
            <sz val="10"/>
            <color rgb="FF000000"/>
            <rFont val="Arial"/>
            <family val="2"/>
          </rPr>
          <t>Krf + B (Km - Krf)</t>
        </r>
      </text>
    </comment>
    <comment ref="A41" authorId="0" shapeId="0" xr:uid="{00000000-0006-0000-1E00-000003000000}">
      <text>
        <r>
          <rPr>
            <sz val="10"/>
            <color rgb="FF000000"/>
            <rFont val="Arial"/>
            <family val="2"/>
          </rPr>
          <t>Tasa de los bonos de tesoro de usa
'Tasa libre de riesgo'</t>
        </r>
      </text>
    </comment>
    <comment ref="A42" authorId="0" shapeId="0" xr:uid="{00000000-0006-0000-1E00-000004000000}">
      <text>
        <r>
          <rPr>
            <sz val="10"/>
            <color rgb="FF000000"/>
            <rFont val="Arial"/>
            <family val="2"/>
          </rPr>
          <t>Riesgo que yo tengo.
Si la empresa esta perfectamente correlacionada con el mercado, el valor es 1</t>
        </r>
      </text>
    </comment>
    <comment ref="A43" authorId="0" shapeId="0" xr:uid="{00000000-0006-0000-1E00-000005000000}">
      <text>
        <r>
          <rPr>
            <sz val="10"/>
            <color rgb="FF000000"/>
            <rFont val="Arial"/>
            <family val="2"/>
          </rPr>
          <t>Rentabilidad del mercado (X mejores empresas del mercado)
'valor esperado del mercado'</t>
        </r>
      </text>
    </comment>
    <comment ref="A44" authorId="0" shapeId="0" xr:uid="{00000000-0006-0000-1E00-000006000000}">
      <text>
        <r>
          <rPr>
            <sz val="10"/>
            <color rgb="FF000000"/>
            <rFont val="Arial"/>
            <family val="2"/>
          </rPr>
          <t>impuesto a las ganancias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0" authorId="0" shapeId="0" xr:uid="{00000000-0006-0000-1F00-000001000000}">
      <text>
        <r>
          <rPr>
            <sz val="10"/>
            <color rgb="FF000000"/>
            <rFont val="Arial"/>
            <family val="2"/>
          </rPr>
          <t>KeX1 + KdX2* (1-t)</t>
        </r>
      </text>
    </comment>
    <comment ref="A42" authorId="0" shapeId="0" xr:uid="{00000000-0006-0000-1F00-000002000000}">
      <text>
        <r>
          <rPr>
            <sz val="10"/>
            <color rgb="FF000000"/>
            <rFont val="Arial"/>
            <family val="2"/>
          </rPr>
          <t>Krf + B (Km - Krf)</t>
        </r>
      </text>
    </comment>
    <comment ref="A43" authorId="0" shapeId="0" xr:uid="{00000000-0006-0000-1F00-000003000000}">
      <text>
        <r>
          <rPr>
            <sz val="10"/>
            <color rgb="FF000000"/>
            <rFont val="Arial"/>
            <family val="2"/>
          </rPr>
          <t>Tasa de los bonos de tesoro de usa
'Tasa libre de riesgo'</t>
        </r>
      </text>
    </comment>
    <comment ref="A44" authorId="0" shapeId="0" xr:uid="{00000000-0006-0000-1F00-000004000000}">
      <text>
        <r>
          <rPr>
            <sz val="10"/>
            <color rgb="FF000000"/>
            <rFont val="Arial"/>
            <family val="2"/>
          </rPr>
          <t>Riesgo que yo tengo.
Si la empresa esta perfectamente correlacionada con el mercado, el valor es 1</t>
        </r>
      </text>
    </comment>
    <comment ref="A45" authorId="0" shapeId="0" xr:uid="{00000000-0006-0000-1F00-000005000000}">
      <text>
        <r>
          <rPr>
            <sz val="10"/>
            <color rgb="FF000000"/>
            <rFont val="Arial"/>
            <family val="2"/>
          </rPr>
          <t>Rentabilidad del mercado (X mejores empresas del mercado)
'valor esperado del mercado'</t>
        </r>
      </text>
    </comment>
    <comment ref="A46" authorId="0" shapeId="0" xr:uid="{00000000-0006-0000-1F00-000006000000}">
      <text>
        <r>
          <rPr>
            <sz val="10"/>
            <color rgb="FF000000"/>
            <rFont val="Arial"/>
            <family val="2"/>
          </rPr>
          <t>impuesto a las ganancias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1" authorId="0" shapeId="0" xr:uid="{38272553-582E-4441-8C09-8BD1A9F62C02}">
      <text>
        <r>
          <rPr>
            <sz val="10"/>
            <color rgb="FF000000"/>
            <rFont val="Arial"/>
            <family val="2"/>
          </rPr>
          <t>KeX1 + KdX2* (1-t)</t>
        </r>
      </text>
    </comment>
    <comment ref="A43" authorId="0" shapeId="0" xr:uid="{1BAE5A48-DEE3-49BF-AE32-8854D51C60BF}">
      <text>
        <r>
          <rPr>
            <sz val="10"/>
            <color rgb="FF000000"/>
            <rFont val="Arial"/>
            <family val="2"/>
          </rPr>
          <t>Krf + B (Km - Krf)</t>
        </r>
      </text>
    </comment>
    <comment ref="A44" authorId="0" shapeId="0" xr:uid="{A6BA3795-1730-4A98-8F0B-CE6171A31781}">
      <text>
        <r>
          <rPr>
            <sz val="10"/>
            <color rgb="FF000000"/>
            <rFont val="Arial"/>
            <family val="2"/>
          </rPr>
          <t>Tasa de los bonos de tesoro de usa
'Tasa libre de riesgo'</t>
        </r>
      </text>
    </comment>
    <comment ref="A45" authorId="0" shapeId="0" xr:uid="{03983A82-7BE5-44A9-BAC2-C637183B8894}">
      <text>
        <r>
          <rPr>
            <sz val="10"/>
            <color rgb="FF000000"/>
            <rFont val="Arial"/>
            <family val="2"/>
          </rPr>
          <t>Riesgo que yo tengo.
Si la empresa esta perfectamente correlacionada con el mercado, el valor es 1</t>
        </r>
      </text>
    </comment>
    <comment ref="A46" authorId="0" shapeId="0" xr:uid="{630D3673-6279-4A4B-AC48-5D702DB0B9BB}">
      <text>
        <r>
          <rPr>
            <sz val="10"/>
            <color rgb="FF000000"/>
            <rFont val="Arial"/>
            <family val="2"/>
          </rPr>
          <t>Rentabilidad del mercado (X mejores empresas del mercado)
'valor esperado del mercado'</t>
        </r>
      </text>
    </comment>
    <comment ref="A47" authorId="0" shapeId="0" xr:uid="{52FA222A-076A-444D-AD04-5EE1C2B13546}">
      <text>
        <r>
          <rPr>
            <sz val="10"/>
            <color rgb="FF000000"/>
            <rFont val="Arial"/>
            <family val="2"/>
          </rPr>
          <t>impuesto a las ganancias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41" authorId="0" shapeId="0" xr:uid="{FF4318D1-B78B-40D5-B7C0-E9C0F863BA96}">
      <text>
        <r>
          <rPr>
            <sz val="10"/>
            <color rgb="FF000000"/>
            <rFont val="Arial"/>
            <family val="2"/>
          </rPr>
          <t>KeX1 + KdX2* (1-t)</t>
        </r>
      </text>
    </comment>
    <comment ref="A43" authorId="0" shapeId="0" xr:uid="{667E8A5C-868A-4798-8A01-341E3128D68C}">
      <text>
        <r>
          <rPr>
            <sz val="10"/>
            <color rgb="FF000000"/>
            <rFont val="Arial"/>
            <family val="2"/>
          </rPr>
          <t>Krf + B (Km - Krf)</t>
        </r>
      </text>
    </comment>
    <comment ref="A44" authorId="0" shapeId="0" xr:uid="{700A906B-3EE4-4C26-A011-3D8AC942230D}">
      <text>
        <r>
          <rPr>
            <sz val="10"/>
            <color rgb="FF000000"/>
            <rFont val="Arial"/>
            <family val="2"/>
          </rPr>
          <t>Tasa de los bonos de tesoro de usa
'Tasa libre de riesgo'</t>
        </r>
      </text>
    </comment>
    <comment ref="A45" authorId="0" shapeId="0" xr:uid="{DC5D1FAE-EF0E-4736-A803-13881BF28E31}">
      <text>
        <r>
          <rPr>
            <sz val="10"/>
            <color rgb="FF000000"/>
            <rFont val="Arial"/>
            <family val="2"/>
          </rPr>
          <t>Riesgo que yo tengo.
Si la empresa esta perfectamente correlacionada con el mercado, el valor es 1</t>
        </r>
      </text>
    </comment>
    <comment ref="A46" authorId="0" shapeId="0" xr:uid="{9CE443C9-ADAC-4E76-8A15-591B8A4D2E69}">
      <text>
        <r>
          <rPr>
            <sz val="10"/>
            <color rgb="FF000000"/>
            <rFont val="Arial"/>
            <family val="2"/>
          </rPr>
          <t>Rentabilidad del mercado (X mejores empresas del mercado)
'valor esperado del mercado'</t>
        </r>
      </text>
    </comment>
    <comment ref="A47" authorId="0" shapeId="0" xr:uid="{268F9130-F893-48E2-A648-639144AD78F1}">
      <text>
        <r>
          <rPr>
            <sz val="10"/>
            <color rgb="FF000000"/>
            <rFont val="Arial"/>
            <family val="2"/>
          </rPr>
          <t>impuesto a las ganancias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43" authorId="0" shapeId="0" xr:uid="{91F14001-3BCF-40DF-8AC6-AC46A722BD79}">
      <text>
        <r>
          <rPr>
            <sz val="10"/>
            <color rgb="FF000000"/>
            <rFont val="Arial"/>
            <family val="2"/>
          </rPr>
          <t>KeX1 + KdX2* (1-t)</t>
        </r>
      </text>
    </comment>
    <comment ref="A45" authorId="0" shapeId="0" xr:uid="{3D38DFAC-1D7B-4553-8D7E-72DBECBD711D}">
      <text>
        <r>
          <rPr>
            <sz val="10"/>
            <color rgb="FF000000"/>
            <rFont val="Arial"/>
            <family val="2"/>
          </rPr>
          <t>Krf + B (Km - Krf)</t>
        </r>
      </text>
    </comment>
    <comment ref="A46" authorId="0" shapeId="0" xr:uid="{F5A697B0-710D-47A8-AD92-CFB55D2F70D8}">
      <text>
        <r>
          <rPr>
            <sz val="10"/>
            <color rgb="FF000000"/>
            <rFont val="Arial"/>
            <family val="2"/>
          </rPr>
          <t>Tasa de los bonos de tesoro de usa
'Tasa libre de riesgo'</t>
        </r>
      </text>
    </comment>
    <comment ref="A47" authorId="0" shapeId="0" xr:uid="{332DFE30-B987-42D2-B0EA-359705606EF4}">
      <text>
        <r>
          <rPr>
            <sz val="10"/>
            <color rgb="FF000000"/>
            <rFont val="Arial"/>
            <family val="2"/>
          </rPr>
          <t>Riesgo que yo tengo.
Si la empresa esta perfectamente correlacionada con el mercado, el valor es 1</t>
        </r>
      </text>
    </comment>
    <comment ref="A48" authorId="0" shapeId="0" xr:uid="{889174B9-2E76-43FD-B0B8-333CE0867949}">
      <text>
        <r>
          <rPr>
            <sz val="10"/>
            <color rgb="FF000000"/>
            <rFont val="Arial"/>
            <family val="2"/>
          </rPr>
          <t>Rentabilidad del mercado (X mejores empresas del mercado)
'valor esperado del mercado'</t>
        </r>
      </text>
    </comment>
    <comment ref="A49" authorId="0" shapeId="0" xr:uid="{B08F5731-66B0-47FB-A3A0-C637F6073924}">
      <text>
        <r>
          <rPr>
            <sz val="10"/>
            <color rgb="FF000000"/>
            <rFont val="Arial"/>
            <family val="2"/>
          </rPr>
          <t>impuesto a las ganancias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I41" authorId="0" shapeId="0" xr:uid="{C4192DC4-CBFC-4516-96C3-DC053A831108}">
      <text>
        <r>
          <rPr>
            <sz val="10"/>
            <color rgb="FF000000"/>
            <rFont val="Arial"/>
            <family val="2"/>
          </rPr>
          <t>KeX1 + KdX2* (1-t)</t>
        </r>
      </text>
    </comment>
    <comment ref="I43" authorId="0" shapeId="0" xr:uid="{FEF226CF-FCA5-4424-BA26-B0140B522B23}">
      <text>
        <r>
          <rPr>
            <sz val="10"/>
            <color rgb="FF000000"/>
            <rFont val="Arial"/>
            <family val="2"/>
          </rPr>
          <t>Krf + B (Km - Krf)</t>
        </r>
      </text>
    </comment>
    <comment ref="I44" authorId="0" shapeId="0" xr:uid="{00230722-393C-4901-8D74-4491BF5149B9}">
      <text>
        <r>
          <rPr>
            <sz val="10"/>
            <color rgb="FF000000"/>
            <rFont val="Arial"/>
            <family val="2"/>
          </rPr>
          <t>Tasa de los bonos de tesoro de usa
'Tasa libre de riesgo'</t>
        </r>
      </text>
    </comment>
    <comment ref="I45" authorId="0" shapeId="0" xr:uid="{83D712C1-C240-4F18-AC3B-02EB2C8BD314}">
      <text>
        <r>
          <rPr>
            <sz val="10"/>
            <color rgb="FF000000"/>
            <rFont val="Arial"/>
            <family val="2"/>
          </rPr>
          <t>Riesgo que yo tengo.
Si la empresa esta perfectamente correlacionada con el mercado, el valor es 1</t>
        </r>
      </text>
    </comment>
    <comment ref="I46" authorId="0" shapeId="0" xr:uid="{72B71E9B-ADD9-41D2-B978-C1203F7565C8}">
      <text>
        <r>
          <rPr>
            <sz val="10"/>
            <color rgb="FF000000"/>
            <rFont val="Arial"/>
            <family val="2"/>
          </rPr>
          <t>Rentabilidad del mercado (X mejores empresas del mercado)
'valor esperado del mercado'</t>
        </r>
      </text>
    </comment>
    <comment ref="I47" authorId="0" shapeId="0" xr:uid="{44DAF230-0304-4785-977C-9129683292BC}">
      <text>
        <r>
          <rPr>
            <sz val="10"/>
            <color rgb="FF000000"/>
            <rFont val="Arial"/>
            <family val="2"/>
          </rPr>
          <t>impuesto a las ganancias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B78" authorId="0" shapeId="0" xr:uid="{4600E2F2-F6C4-417C-8A24-A8687D3F15C7}">
      <text>
        <r>
          <rPr>
            <sz val="10"/>
            <color rgb="FF000000"/>
            <rFont val="Arial"/>
            <family val="2"/>
          </rPr>
          <t>KeX1 + KdX2* (1-t)</t>
        </r>
      </text>
    </comment>
    <comment ref="B80" authorId="0" shapeId="0" xr:uid="{2E818674-B351-49E5-8187-B59579DFE89C}">
      <text>
        <r>
          <rPr>
            <sz val="10"/>
            <color rgb="FF000000"/>
            <rFont val="Arial"/>
            <family val="2"/>
          </rPr>
          <t>Krf + B (Km - Krf)</t>
        </r>
      </text>
    </comment>
    <comment ref="B81" authorId="0" shapeId="0" xr:uid="{2A34ED8E-D4C3-41D8-AFBE-C29A5A4A8E4A}">
      <text>
        <r>
          <rPr>
            <sz val="10"/>
            <color rgb="FF000000"/>
            <rFont val="Arial"/>
            <family val="2"/>
          </rPr>
          <t>Tasa de los bonos de tesoro de usa
'Tasa libre de riesgo'</t>
        </r>
      </text>
    </comment>
    <comment ref="B82" authorId="0" shapeId="0" xr:uid="{3BF2964D-710B-4A21-8F9D-7F28FB8BEB08}">
      <text>
        <r>
          <rPr>
            <sz val="10"/>
            <color rgb="FF000000"/>
            <rFont val="Arial"/>
            <family val="2"/>
          </rPr>
          <t>Riesgo que yo tengo.
Si la empresa esta perfectamente correlacionada con el mercado, el valor es 1</t>
        </r>
      </text>
    </comment>
    <comment ref="B83" authorId="0" shapeId="0" xr:uid="{AC618B9D-4D98-4014-9E52-5D8413DCFD78}">
      <text>
        <r>
          <rPr>
            <sz val="10"/>
            <color rgb="FF000000"/>
            <rFont val="Arial"/>
            <family val="2"/>
          </rPr>
          <t>Rentabilidad del mercado (X mejores empresas del mercado)
'valor esperado del mercado'</t>
        </r>
      </text>
    </comment>
    <comment ref="B84" authorId="0" shapeId="0" xr:uid="{E67447CB-B96E-4DD7-B9D9-24BF71F15669}">
      <text>
        <r>
          <rPr>
            <sz val="10"/>
            <color rgb="FF000000"/>
            <rFont val="Arial"/>
            <family val="2"/>
          </rPr>
          <t>impuesto a las ganancias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B80" authorId="0" shapeId="0" xr:uid="{97EAD10C-902F-4A1E-A29D-B67E46616844}">
      <text>
        <r>
          <rPr>
            <sz val="10"/>
            <color rgb="FF000000"/>
            <rFont val="Arial"/>
            <family val="2"/>
          </rPr>
          <t>KeX1 + KdX2* (1-t)</t>
        </r>
      </text>
    </comment>
    <comment ref="B82" authorId="0" shapeId="0" xr:uid="{81B36EA3-C799-4153-80B6-4E23DD3D61BA}">
      <text>
        <r>
          <rPr>
            <sz val="10"/>
            <color rgb="FF000000"/>
            <rFont val="Arial"/>
            <family val="2"/>
          </rPr>
          <t>Krf + B (Km - Krf)</t>
        </r>
      </text>
    </comment>
    <comment ref="B83" authorId="0" shapeId="0" xr:uid="{5C9AE3E8-AE5E-4EFE-95E5-6C2F3BC63DB3}">
      <text>
        <r>
          <rPr>
            <sz val="10"/>
            <color rgb="FF000000"/>
            <rFont val="Arial"/>
            <family val="2"/>
          </rPr>
          <t>Tasa de los bonos de tesoro de usa
'Tasa libre de riesgo'</t>
        </r>
      </text>
    </comment>
    <comment ref="B84" authorId="0" shapeId="0" xr:uid="{F83A0E23-0DAD-41AE-A46D-A4CAF029CC86}">
      <text>
        <r>
          <rPr>
            <sz val="10"/>
            <color rgb="FF000000"/>
            <rFont val="Arial"/>
            <family val="2"/>
          </rPr>
          <t>Riesgo que yo tengo.
Si la empresa esta perfectamente correlacionada con el mercado, el valor es 1</t>
        </r>
      </text>
    </comment>
    <comment ref="B85" authorId="0" shapeId="0" xr:uid="{FB142075-BC12-4C5D-8E8D-0A55BC8E047C}">
      <text>
        <r>
          <rPr>
            <sz val="10"/>
            <color rgb="FF000000"/>
            <rFont val="Arial"/>
            <family val="2"/>
          </rPr>
          <t>Rentabilidad del mercado (X mejores empresas del mercado)
'valor esperado del mercado'</t>
        </r>
      </text>
    </comment>
    <comment ref="B86" authorId="0" shapeId="0" xr:uid="{4476C1AC-BA8F-484C-933A-CB6D2F3E6078}">
      <text>
        <r>
          <rPr>
            <sz val="10"/>
            <color rgb="FF000000"/>
            <rFont val="Arial"/>
            <family val="2"/>
          </rPr>
          <t>impuesto a las ganancias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B80" authorId="0" shapeId="0" xr:uid="{C0BB7FA1-F4A5-4DBC-BAD0-37FE51E18194}">
      <text>
        <r>
          <rPr>
            <sz val="10"/>
            <color rgb="FF000000"/>
            <rFont val="Arial"/>
            <family val="2"/>
          </rPr>
          <t>KeX1 + KdX2* (1-t)</t>
        </r>
      </text>
    </comment>
    <comment ref="B82" authorId="0" shapeId="0" xr:uid="{C5B94F89-2FB4-4C7A-9816-1FEF5C85F095}">
      <text>
        <r>
          <rPr>
            <sz val="10"/>
            <color rgb="FF000000"/>
            <rFont val="Arial"/>
            <family val="2"/>
          </rPr>
          <t>Krf + B (Km - Krf)</t>
        </r>
      </text>
    </comment>
    <comment ref="B83" authorId="0" shapeId="0" xr:uid="{3499A2B2-75D4-4F72-A30C-589A3BB72ACA}">
      <text>
        <r>
          <rPr>
            <sz val="10"/>
            <color rgb="FF000000"/>
            <rFont val="Arial"/>
            <family val="2"/>
          </rPr>
          <t>Tasa de los bonos de tesoro de usa
'Tasa libre de riesgo'</t>
        </r>
      </text>
    </comment>
    <comment ref="B84" authorId="0" shapeId="0" xr:uid="{F17DCDEC-8B14-4BD2-8443-07D997EF97E2}">
      <text>
        <r>
          <rPr>
            <sz val="10"/>
            <color rgb="FF000000"/>
            <rFont val="Arial"/>
            <family val="2"/>
          </rPr>
          <t>Riesgo que yo tengo.
Si la empresa esta perfectamente correlacionada con el mercado, el valor es 1</t>
        </r>
      </text>
    </comment>
    <comment ref="B85" authorId="0" shapeId="0" xr:uid="{5779976E-75FD-4E7F-8A2B-E8B320AEC132}">
      <text>
        <r>
          <rPr>
            <sz val="10"/>
            <color rgb="FF000000"/>
            <rFont val="Arial"/>
            <family val="2"/>
          </rPr>
          <t>Rentabilidad del mercado (X mejores empresas del mercado)
'valor esperado del mercado'</t>
        </r>
      </text>
    </comment>
    <comment ref="B86" authorId="0" shapeId="0" xr:uid="{C9DEF375-55C0-47B2-84E8-F64B94C7ACA8}">
      <text>
        <r>
          <rPr>
            <sz val="10"/>
            <color rgb="FF000000"/>
            <rFont val="Arial"/>
            <family val="2"/>
          </rPr>
          <t>impuesto a las ganancias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0" authorId="0" shapeId="0" xr:uid="{00000000-0006-0000-1500-000001000000}">
      <text>
        <r>
          <rPr>
            <sz val="10"/>
            <color rgb="FF000000"/>
            <rFont val="Arial"/>
            <family val="2"/>
          </rPr>
          <t>KeX1 + KdX2* (1-t)</t>
        </r>
      </text>
    </comment>
    <comment ref="A42" authorId="0" shapeId="0" xr:uid="{00000000-0006-0000-1500-000002000000}">
      <text>
        <r>
          <rPr>
            <sz val="10"/>
            <color rgb="FF000000"/>
            <rFont val="Arial"/>
            <family val="2"/>
          </rPr>
          <t>Krf + B (Km - Krf)</t>
        </r>
      </text>
    </comment>
    <comment ref="A43" authorId="0" shapeId="0" xr:uid="{00000000-0006-0000-1500-000003000000}">
      <text>
        <r>
          <rPr>
            <sz val="10"/>
            <color rgb="FF000000"/>
            <rFont val="Arial"/>
            <family val="2"/>
          </rPr>
          <t>Tasa de los bonos de tesoro de usa
'Tasa libre de riesgo'</t>
        </r>
      </text>
    </comment>
    <comment ref="A44" authorId="0" shapeId="0" xr:uid="{00000000-0006-0000-1500-000004000000}">
      <text>
        <r>
          <rPr>
            <sz val="10"/>
            <color rgb="FF000000"/>
            <rFont val="Arial"/>
            <family val="2"/>
          </rPr>
          <t>Riesgo que yo tengo.
Si la empresa esta perfectamente correlacionada con el mercado, el valor es 1</t>
        </r>
      </text>
    </comment>
    <comment ref="A45" authorId="0" shapeId="0" xr:uid="{00000000-0006-0000-1500-000005000000}">
      <text>
        <r>
          <rPr>
            <sz val="10"/>
            <color rgb="FF000000"/>
            <rFont val="Arial"/>
            <family val="2"/>
          </rPr>
          <t>Rentabilidad del mercado (X mejores empresas del mercado)
'valor esperado del mercado'</t>
        </r>
      </text>
    </comment>
    <comment ref="A46" authorId="0" shapeId="0" xr:uid="{00000000-0006-0000-1500-000006000000}">
      <text>
        <r>
          <rPr>
            <sz val="10"/>
            <color rgb="FF000000"/>
            <rFont val="Arial"/>
            <family val="2"/>
          </rPr>
          <t>impuesto a las ganancias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B80" authorId="0" shapeId="0" xr:uid="{C66CC838-E2D7-4044-9D29-2CF8720A30F0}">
      <text>
        <r>
          <rPr>
            <sz val="10"/>
            <color rgb="FF000000"/>
            <rFont val="Arial"/>
            <family val="2"/>
          </rPr>
          <t>KeX1 + KdX2* (1-t)</t>
        </r>
      </text>
    </comment>
    <comment ref="B82" authorId="0" shapeId="0" xr:uid="{243E0505-3A80-40FB-814A-6F2F82EA11C2}">
      <text>
        <r>
          <rPr>
            <sz val="10"/>
            <color rgb="FF000000"/>
            <rFont val="Arial"/>
            <family val="2"/>
          </rPr>
          <t>Krf + B (Km - Krf)</t>
        </r>
      </text>
    </comment>
    <comment ref="B83" authorId="0" shapeId="0" xr:uid="{32DD694F-9320-4E27-AB9F-BF4A8E20FD08}">
      <text>
        <r>
          <rPr>
            <sz val="10"/>
            <color rgb="FF000000"/>
            <rFont val="Arial"/>
            <family val="2"/>
          </rPr>
          <t>Tasa de los bonos de tesoro de usa
'Tasa libre de riesgo'</t>
        </r>
      </text>
    </comment>
    <comment ref="B84" authorId="0" shapeId="0" xr:uid="{1F93E1A6-AD11-4E89-A619-BCD08686AA66}">
      <text>
        <r>
          <rPr>
            <sz val="10"/>
            <color rgb="FF000000"/>
            <rFont val="Arial"/>
            <family val="2"/>
          </rPr>
          <t>Riesgo que yo tengo.
Si la empresa esta perfectamente correlacionada con el mercado, el valor es 1</t>
        </r>
      </text>
    </comment>
    <comment ref="B85" authorId="0" shapeId="0" xr:uid="{81C5AF28-96A9-41BB-ADA8-D38CDFE1F863}">
      <text>
        <r>
          <rPr>
            <sz val="10"/>
            <color rgb="FF000000"/>
            <rFont val="Arial"/>
            <family val="2"/>
          </rPr>
          <t>Rentabilidad del mercado (X mejores empresas del mercado)
'valor esperado del mercado'</t>
        </r>
      </text>
    </comment>
    <comment ref="B86" authorId="0" shapeId="0" xr:uid="{FE0F919A-C9F4-4D9E-85A9-B025920BBB58}">
      <text>
        <r>
          <rPr>
            <sz val="10"/>
            <color rgb="FF000000"/>
            <rFont val="Arial"/>
            <family val="2"/>
          </rPr>
          <t>impuesto a las ganancias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Author</author>
  </authors>
  <commentList>
    <comment ref="B142" authorId="0" shapeId="0" xr:uid="{22142DCB-EB02-42FF-906B-4009A5F88495}">
      <text>
        <r>
          <rPr>
            <sz val="10"/>
            <color rgb="FF000000"/>
            <rFont val="Arial"/>
            <family val="2"/>
          </rPr>
          <t>KeX1 + KdX2* (1-t)</t>
        </r>
      </text>
    </comment>
    <comment ref="B144" authorId="0" shapeId="0" xr:uid="{E1D0DFBD-F9E2-47E8-B1F6-ED1A6CE46003}">
      <text>
        <r>
          <rPr>
            <sz val="10"/>
            <color rgb="FF000000"/>
            <rFont val="Arial"/>
            <family val="2"/>
          </rPr>
          <t>Krf + B (Km - Krf)</t>
        </r>
      </text>
    </comment>
    <comment ref="B145" authorId="0" shapeId="0" xr:uid="{F08ED175-62A5-416E-B9EA-CE2B34867BD8}">
      <text>
        <r>
          <rPr>
            <sz val="10"/>
            <color rgb="FF000000"/>
            <rFont val="Arial"/>
            <family val="2"/>
          </rPr>
          <t>Tasa de los bonos de tesoro de usa
'Tasa libre de riesgo'</t>
        </r>
      </text>
    </comment>
    <comment ref="B146" authorId="0" shapeId="0" xr:uid="{85386855-2D90-4D1C-B78A-44CAAAE19929}">
      <text>
        <r>
          <rPr>
            <sz val="10"/>
            <color rgb="FF000000"/>
            <rFont val="Arial"/>
            <family val="2"/>
          </rPr>
          <t>Riesgo que yo tengo.
Si la empresa esta perfectamente correlacionada con el mercado, el valor es 1</t>
        </r>
      </text>
    </comment>
    <comment ref="B147" authorId="0" shapeId="0" xr:uid="{703421AD-B56A-4F0C-888D-6DC0603CFDF0}">
      <text>
        <r>
          <rPr>
            <sz val="10"/>
            <color rgb="FF000000"/>
            <rFont val="Arial"/>
            <family val="2"/>
          </rPr>
          <t>Rentabilidad del mercado (X mejores empresas del mercado)
'valor esperado del mercado'</t>
        </r>
      </text>
    </comment>
    <comment ref="B148" authorId="0" shapeId="0" xr:uid="{6493C2EE-F291-49EA-A52B-2B15A3679E57}">
      <text>
        <r>
          <rPr>
            <sz val="10"/>
            <color rgb="FF000000"/>
            <rFont val="Arial"/>
            <family val="2"/>
          </rPr>
          <t>impuesto a las ganancias</t>
        </r>
      </text>
    </comment>
    <comment ref="B161" authorId="1" shapeId="0" xr:uid="{9AFFAF51-45D7-400C-977B-BDE97880FD43}">
      <text>
        <r>
          <rPr>
            <sz val="10"/>
            <color rgb="FF000000"/>
            <rFont val="Arial"/>
          </rPr>
          <t>======
ID#AAAAS-Nnes4
    (2021-12-17 16:44:02)
Rentabilidad del mercado (X mejores empresas del mercado)
'valor esperado del mercado'</t>
        </r>
      </text>
    </comment>
    <comment ref="B165" authorId="1" shapeId="0" xr:uid="{60DE83CB-6A2E-4B6C-9173-0907FDC2FB78}">
      <text>
        <r>
          <rPr>
            <sz val="10"/>
            <color rgb="FF000000"/>
            <rFont val="Arial"/>
          </rPr>
          <t>======
ID#AAAAS-Nnes0
    (2021-12-17 16:44:02)
Porcentaje de costo de la deuda</t>
        </r>
      </text>
    </comment>
    <comment ref="B169" authorId="1" shapeId="0" xr:uid="{AF2A114E-4A59-47A1-AEF0-0D3FD2401B75}">
      <text>
        <r>
          <rPr>
            <sz val="10"/>
            <color rgb="FF000000"/>
            <rFont val="Arial"/>
          </rPr>
          <t>======
ID#AAAAS-Nnesc
    (2021-12-17 16:44:02)
KeX1 + KdX2* (1-t)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Author</author>
  </authors>
  <commentList>
    <comment ref="B142" authorId="0" shapeId="0" xr:uid="{E628ECFB-284A-4F1D-BCDC-E5C32A944B74}">
      <text>
        <r>
          <rPr>
            <sz val="10"/>
            <color rgb="FF000000"/>
            <rFont val="Arial"/>
            <family val="2"/>
          </rPr>
          <t>KeX1 + KdX2* (1-t)</t>
        </r>
      </text>
    </comment>
    <comment ref="B144" authorId="0" shapeId="0" xr:uid="{981565E1-E4AF-4C01-8031-B343C4A8E024}">
      <text>
        <r>
          <rPr>
            <sz val="10"/>
            <color rgb="FF000000"/>
            <rFont val="Arial"/>
            <family val="2"/>
          </rPr>
          <t>Krf + B (Km - Krf)</t>
        </r>
      </text>
    </comment>
    <comment ref="B145" authorId="0" shapeId="0" xr:uid="{BA564A02-FF03-408B-8FBE-F5A662218C26}">
      <text>
        <r>
          <rPr>
            <sz val="10"/>
            <color rgb="FF000000"/>
            <rFont val="Arial"/>
            <family val="2"/>
          </rPr>
          <t>Tasa de los bonos de tesoro de usa
'Tasa libre de riesgo'</t>
        </r>
      </text>
    </comment>
    <comment ref="B146" authorId="0" shapeId="0" xr:uid="{DFF9D77E-9019-4FFA-90ED-92CF7B78BECB}">
      <text>
        <r>
          <rPr>
            <sz val="10"/>
            <color rgb="FF000000"/>
            <rFont val="Arial"/>
            <family val="2"/>
          </rPr>
          <t>Riesgo que yo tengo.
Si la empresa esta perfectamente correlacionada con el mercado, el valor es 1</t>
        </r>
      </text>
    </comment>
    <comment ref="B147" authorId="0" shapeId="0" xr:uid="{0DC37F44-128C-48B2-9F89-B5A2161761B5}">
      <text>
        <r>
          <rPr>
            <sz val="10"/>
            <color rgb="FF000000"/>
            <rFont val="Arial"/>
            <family val="2"/>
          </rPr>
          <t>Rentabilidad del mercado (X mejores empresas del mercado)
'valor esperado del mercado'</t>
        </r>
      </text>
    </comment>
    <comment ref="B148" authorId="0" shapeId="0" xr:uid="{7B9BD7C5-1649-4153-BA5E-CB48C8AEAB9E}">
      <text>
        <r>
          <rPr>
            <sz val="10"/>
            <color rgb="FF000000"/>
            <rFont val="Arial"/>
            <family val="2"/>
          </rPr>
          <t>impuesto a las ganancias</t>
        </r>
      </text>
    </comment>
    <comment ref="B161" authorId="1" shapeId="0" xr:uid="{96557E2A-CB7A-4D11-9C97-02B4BD2DC7D8}">
      <text>
        <r>
          <rPr>
            <sz val="10"/>
            <color rgb="FF000000"/>
            <rFont val="Arial"/>
          </rPr>
          <t>======
ID#AAAAS-Nnes4
    (2021-12-17 16:44:02)
Rentabilidad del mercado (X mejores empresas del mercado)
'valor esperado del mercado'</t>
        </r>
      </text>
    </comment>
    <comment ref="B165" authorId="1" shapeId="0" xr:uid="{BC287445-FEA5-427A-BE16-6408EBFBD9B9}">
      <text>
        <r>
          <rPr>
            <sz val="10"/>
            <color rgb="FF000000"/>
            <rFont val="Arial"/>
          </rPr>
          <t>======
ID#AAAAS-Nnes0
    (2021-12-17 16:44:02)
Porcentaje de costo de la deuda</t>
        </r>
      </text>
    </comment>
    <comment ref="B169" authorId="1" shapeId="0" xr:uid="{3FF3CC1B-E12A-4DA4-B28A-11B8C01D12D1}">
      <text>
        <r>
          <rPr>
            <sz val="10"/>
            <color rgb="FF000000"/>
            <rFont val="Arial"/>
          </rPr>
          <t>======
ID#AAAAS-Nnesc
    (2021-12-17 16:44:02)
KeX1 + KdX2* (1-t)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B154" authorId="0" shapeId="0" xr:uid="{ACDB2C45-2397-4CCD-A0E9-756D92F7D2ED}">
      <text>
        <r>
          <rPr>
            <sz val="10"/>
            <color rgb="FF000000"/>
            <rFont val="Arial"/>
            <family val="2"/>
          </rPr>
          <t>KeX1 + KdX2* (1-t)</t>
        </r>
      </text>
    </comment>
    <comment ref="B156" authorId="0" shapeId="0" xr:uid="{E858D72C-FB2E-4F77-9D9F-04284D949A41}">
      <text>
        <r>
          <rPr>
            <sz val="10"/>
            <color rgb="FF000000"/>
            <rFont val="Arial"/>
            <family val="2"/>
          </rPr>
          <t>Krf + B (Km - Krf)</t>
        </r>
      </text>
    </comment>
    <comment ref="B157" authorId="0" shapeId="0" xr:uid="{63560AEE-8F95-45E3-8B72-F538754445CC}">
      <text>
        <r>
          <rPr>
            <sz val="10"/>
            <color rgb="FF000000"/>
            <rFont val="Arial"/>
            <family val="2"/>
          </rPr>
          <t>Tasa de los bonos de tesoro de usa
'Tasa libre de riesgo'</t>
        </r>
      </text>
    </comment>
    <comment ref="B158" authorId="0" shapeId="0" xr:uid="{3DFA59B9-B3D7-45A8-8C26-FA682D4FED52}">
      <text>
        <r>
          <rPr>
            <sz val="10"/>
            <color rgb="FF000000"/>
            <rFont val="Arial"/>
            <family val="2"/>
          </rPr>
          <t>Riesgo que yo tengo.
Si la empresa esta perfectamente correlacionada con el mercado, el valor es 1</t>
        </r>
      </text>
    </comment>
    <comment ref="B159" authorId="0" shapeId="0" xr:uid="{F4589F05-E0A7-440B-8029-5481A25F5AAE}">
      <text>
        <r>
          <rPr>
            <sz val="10"/>
            <color rgb="FF000000"/>
            <rFont val="Arial"/>
            <family val="2"/>
          </rPr>
          <t>Rentabilidad del mercado (X mejores empresas del mercado)
'valor esperado del mercado'</t>
        </r>
      </text>
    </comment>
    <comment ref="B160" authorId="0" shapeId="0" xr:uid="{B9B4C503-9332-4283-80E6-6257F779B1C8}">
      <text>
        <r>
          <rPr>
            <sz val="10"/>
            <color rgb="FF000000"/>
            <rFont val="Arial"/>
            <family val="2"/>
          </rPr>
          <t>impuesto a las ganancias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B137" authorId="0" shapeId="0" xr:uid="{D99E77B3-4E07-4259-ADD3-6163A4C27721}">
      <text>
        <r>
          <rPr>
            <sz val="10"/>
            <color rgb="FF000000"/>
            <rFont val="Arial"/>
            <family val="2"/>
          </rPr>
          <t>KeX1 + KdX2* (1-t)</t>
        </r>
      </text>
    </comment>
    <comment ref="B139" authorId="0" shapeId="0" xr:uid="{E03C1CD6-3D78-472E-B34F-5318E8F70A11}">
      <text>
        <r>
          <rPr>
            <sz val="10"/>
            <color rgb="FF000000"/>
            <rFont val="Arial"/>
            <family val="2"/>
          </rPr>
          <t>Krf + B (Km - Krf)</t>
        </r>
      </text>
    </comment>
    <comment ref="B140" authorId="0" shapeId="0" xr:uid="{0E460419-F041-4D95-AEAE-18D96545A352}">
      <text>
        <r>
          <rPr>
            <sz val="10"/>
            <color rgb="FF000000"/>
            <rFont val="Arial"/>
            <family val="2"/>
          </rPr>
          <t>Tasa de los bonos de tesoro de usa
'Tasa libre de riesgo'</t>
        </r>
      </text>
    </comment>
    <comment ref="B141" authorId="0" shapeId="0" xr:uid="{504AAF73-B17F-49BB-BF1F-B55C33D74739}">
      <text>
        <r>
          <rPr>
            <sz val="10"/>
            <color rgb="FF000000"/>
            <rFont val="Arial"/>
            <family val="2"/>
          </rPr>
          <t>Riesgo que yo tengo.
Si la empresa esta perfectamente correlacionada con el mercado, el valor es 1</t>
        </r>
      </text>
    </comment>
    <comment ref="B142" authorId="0" shapeId="0" xr:uid="{FF9C2B71-0BCE-4B1D-9099-BDE930180E71}">
      <text>
        <r>
          <rPr>
            <sz val="10"/>
            <color rgb="FF000000"/>
            <rFont val="Arial"/>
            <family val="2"/>
          </rPr>
          <t>Rentabilidad del mercado (X mejores empresas del mercado)
'valor esperado del mercado'</t>
        </r>
      </text>
    </comment>
    <comment ref="B143" authorId="0" shapeId="0" xr:uid="{C0FC12E7-2452-461A-ACFA-E6C517F378C0}">
      <text>
        <r>
          <rPr>
            <sz val="10"/>
            <color rgb="FF000000"/>
            <rFont val="Arial"/>
            <family val="2"/>
          </rPr>
          <t>impuesto a las ganancias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B137" authorId="0" shapeId="0" xr:uid="{EBED7A93-B376-4997-85EC-1B1430E4901E}">
      <text>
        <r>
          <rPr>
            <sz val="10"/>
            <color rgb="FF000000"/>
            <rFont val="Arial"/>
            <family val="2"/>
          </rPr>
          <t>KeX1 + KdX2* (1-t)</t>
        </r>
      </text>
    </comment>
    <comment ref="B139" authorId="0" shapeId="0" xr:uid="{39F7797F-7D5E-4C5D-A6B6-C25E266A9495}">
      <text>
        <r>
          <rPr>
            <sz val="10"/>
            <color rgb="FF000000"/>
            <rFont val="Arial"/>
            <family val="2"/>
          </rPr>
          <t>Krf + B (Km - Krf)</t>
        </r>
      </text>
    </comment>
    <comment ref="B140" authorId="0" shapeId="0" xr:uid="{9EEC78BC-EBA8-40E0-A93B-A305C8010134}">
      <text>
        <r>
          <rPr>
            <sz val="10"/>
            <color rgb="FF000000"/>
            <rFont val="Arial"/>
            <family val="2"/>
          </rPr>
          <t>Tasa de los bonos de tesoro de usa
'Tasa libre de riesgo'</t>
        </r>
      </text>
    </comment>
    <comment ref="B141" authorId="0" shapeId="0" xr:uid="{2DB276EA-08B3-4F88-9370-F1F1E53796AB}">
      <text>
        <r>
          <rPr>
            <sz val="10"/>
            <color rgb="FF000000"/>
            <rFont val="Arial"/>
            <family val="2"/>
          </rPr>
          <t>Riesgo que yo tengo.
Si la empresa esta perfectamente correlacionada con el mercado, el valor es 1</t>
        </r>
      </text>
    </comment>
    <comment ref="B142" authorId="0" shapeId="0" xr:uid="{9CF9BBF1-2293-4B70-B82E-FD294B814A3F}">
      <text>
        <r>
          <rPr>
            <sz val="10"/>
            <color rgb="FF000000"/>
            <rFont val="Arial"/>
            <family val="2"/>
          </rPr>
          <t>Rentabilidad del mercado (X mejores empresas del mercado)
'valor esperado del mercado'</t>
        </r>
      </text>
    </comment>
    <comment ref="B143" authorId="0" shapeId="0" xr:uid="{FAF4B932-6CC0-45C9-92B2-52C833C54496}">
      <text>
        <r>
          <rPr>
            <sz val="10"/>
            <color rgb="FF000000"/>
            <rFont val="Arial"/>
            <family val="2"/>
          </rPr>
          <t>impuesto a las ganancias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B147" authorId="0" shapeId="0" xr:uid="{48ABFA19-1AD9-4101-AD95-DFBD92F255C4}">
      <text>
        <r>
          <rPr>
            <sz val="10"/>
            <color rgb="FF000000"/>
            <rFont val="Arial"/>
            <family val="2"/>
          </rPr>
          <t>KeX1 + KdX2* (1-t)</t>
        </r>
      </text>
    </comment>
    <comment ref="B149" authorId="0" shapeId="0" xr:uid="{C61E7092-A931-41D8-BE8A-9F36DD37B79C}">
      <text>
        <r>
          <rPr>
            <sz val="10"/>
            <color rgb="FF000000"/>
            <rFont val="Arial"/>
            <family val="2"/>
          </rPr>
          <t>Krf + B (Km - Krf)</t>
        </r>
      </text>
    </comment>
    <comment ref="B150" authorId="0" shapeId="0" xr:uid="{41332127-B520-4C39-9C65-E0F09577BCE9}">
      <text>
        <r>
          <rPr>
            <sz val="10"/>
            <color rgb="FF000000"/>
            <rFont val="Arial"/>
            <family val="2"/>
          </rPr>
          <t>Tasa de los bonos de tesoro de usa
'Tasa libre de riesgo'</t>
        </r>
      </text>
    </comment>
    <comment ref="B151" authorId="0" shapeId="0" xr:uid="{AAB01AC6-5C80-4501-AAC4-C0D3ED5494F1}">
      <text>
        <r>
          <rPr>
            <sz val="10"/>
            <color rgb="FF000000"/>
            <rFont val="Arial"/>
            <family val="2"/>
          </rPr>
          <t>Riesgo que yo tengo.
Si la empresa esta perfectamente correlacionada con el mercado, el valor es 1</t>
        </r>
      </text>
    </comment>
    <comment ref="B152" authorId="0" shapeId="0" xr:uid="{59510DD1-AB54-46C9-9C44-13DB53A04304}">
      <text>
        <r>
          <rPr>
            <sz val="10"/>
            <color rgb="FF000000"/>
            <rFont val="Arial"/>
            <family val="2"/>
          </rPr>
          <t>Rentabilidad del mercado (X mejores empresas del mercado)
'valor esperado del mercado'</t>
        </r>
      </text>
    </comment>
    <comment ref="B153" authorId="0" shapeId="0" xr:uid="{FACCBEAF-E2B7-40FB-8014-A9B863E4A4CB}">
      <text>
        <r>
          <rPr>
            <sz val="10"/>
            <color rgb="FF000000"/>
            <rFont val="Arial"/>
            <family val="2"/>
          </rPr>
          <t>impuesto a las ganancias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B147" authorId="0" shapeId="0" xr:uid="{ED4858C4-B4CE-4296-9317-468D21665C52}">
      <text>
        <r>
          <rPr>
            <sz val="10"/>
            <color rgb="FF000000"/>
            <rFont val="Arial"/>
            <family val="2"/>
          </rPr>
          <t>KeX1 + KdX2* (1-t)</t>
        </r>
      </text>
    </comment>
    <comment ref="B149" authorId="0" shapeId="0" xr:uid="{3E25838B-C445-45FF-B416-3049E69A495E}">
      <text>
        <r>
          <rPr>
            <sz val="10"/>
            <color rgb="FF000000"/>
            <rFont val="Arial"/>
            <family val="2"/>
          </rPr>
          <t>Krf + B (Km - Krf)</t>
        </r>
      </text>
    </comment>
    <comment ref="B150" authorId="0" shapeId="0" xr:uid="{19A0784F-7F93-4811-8B1A-3CD5821DF834}">
      <text>
        <r>
          <rPr>
            <sz val="10"/>
            <color rgb="FF000000"/>
            <rFont val="Arial"/>
            <family val="2"/>
          </rPr>
          <t>Tasa de los bonos de tesoro de usa
'Tasa libre de riesgo'</t>
        </r>
      </text>
    </comment>
    <comment ref="B151" authorId="0" shapeId="0" xr:uid="{94944B83-109F-4733-9C03-4F991749F768}">
      <text>
        <r>
          <rPr>
            <sz val="10"/>
            <color rgb="FF000000"/>
            <rFont val="Arial"/>
            <family val="2"/>
          </rPr>
          <t>Riesgo que yo tengo.
Si la empresa esta perfectamente correlacionada con el mercado, el valor es 1</t>
        </r>
      </text>
    </comment>
    <comment ref="B152" authorId="0" shapeId="0" xr:uid="{5772C942-3A31-4C16-9131-34E889E783EC}">
      <text>
        <r>
          <rPr>
            <sz val="10"/>
            <color rgb="FF000000"/>
            <rFont val="Arial"/>
            <family val="2"/>
          </rPr>
          <t>Rentabilidad del mercado (X mejores empresas del mercado)
'valor esperado del mercado'</t>
        </r>
      </text>
    </comment>
    <comment ref="B153" authorId="0" shapeId="0" xr:uid="{6CC516D6-6285-4C30-AA48-0652A52D610A}">
      <text>
        <r>
          <rPr>
            <sz val="10"/>
            <color rgb="FF000000"/>
            <rFont val="Arial"/>
            <family val="2"/>
          </rPr>
          <t>impuesto a las ganancias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B147" authorId="0" shapeId="0" xr:uid="{908B8F92-4B37-4868-95D1-7B7911A41492}">
      <text>
        <r>
          <rPr>
            <sz val="10"/>
            <color rgb="FF000000"/>
            <rFont val="Arial"/>
            <family val="2"/>
          </rPr>
          <t>KeX1 + KdX2* (1-t)</t>
        </r>
      </text>
    </comment>
    <comment ref="B149" authorId="0" shapeId="0" xr:uid="{129B2B4B-5408-45F8-BE75-C547121310AE}">
      <text>
        <r>
          <rPr>
            <sz val="10"/>
            <color rgb="FF000000"/>
            <rFont val="Arial"/>
            <family val="2"/>
          </rPr>
          <t>Krf + B (Km - Krf)</t>
        </r>
      </text>
    </comment>
    <comment ref="B150" authorId="0" shapeId="0" xr:uid="{DAD5D35C-3ACA-4322-990B-C124B4BDB9ED}">
      <text>
        <r>
          <rPr>
            <sz val="10"/>
            <color rgb="FF000000"/>
            <rFont val="Arial"/>
            <family val="2"/>
          </rPr>
          <t>Tasa de los bonos de tesoro de usa
'Tasa libre de riesgo'</t>
        </r>
      </text>
    </comment>
    <comment ref="B151" authorId="0" shapeId="0" xr:uid="{08C947A0-36B4-4D92-B9AF-1F99042F701B}">
      <text>
        <r>
          <rPr>
            <sz val="10"/>
            <color rgb="FF000000"/>
            <rFont val="Arial"/>
            <family val="2"/>
          </rPr>
          <t>Riesgo que yo tengo.
Si la empresa esta perfectamente correlacionada con el mercado, el valor es 1</t>
        </r>
      </text>
    </comment>
    <comment ref="B152" authorId="0" shapeId="0" xr:uid="{035FA630-C007-4D35-AD95-B2E6AF0EB456}">
      <text>
        <r>
          <rPr>
            <sz val="10"/>
            <color rgb="FF000000"/>
            <rFont val="Arial"/>
            <family val="2"/>
          </rPr>
          <t>Rentabilidad del mercado (X mejores empresas del mercado)
'valor esperado del mercado'</t>
        </r>
      </text>
    </comment>
    <comment ref="B153" authorId="0" shapeId="0" xr:uid="{1DC57952-1B33-45F4-9E53-4AC2ADE23623}">
      <text>
        <r>
          <rPr>
            <sz val="10"/>
            <color rgb="FF000000"/>
            <rFont val="Arial"/>
            <family val="2"/>
          </rPr>
          <t>impuesto a las ganancias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B171" authorId="0" shapeId="0" xr:uid="{0DCAA43A-75D1-4283-906D-0109229FDFF8}">
      <text>
        <r>
          <rPr>
            <sz val="10"/>
            <color rgb="FF000000"/>
            <rFont val="Arial"/>
            <family val="2"/>
          </rPr>
          <t>KeX1 + KdX2* (1-t)</t>
        </r>
      </text>
    </comment>
    <comment ref="B173" authorId="0" shapeId="0" xr:uid="{21D24F18-49D5-49A6-8395-233795520179}">
      <text>
        <r>
          <rPr>
            <sz val="10"/>
            <color rgb="FF000000"/>
            <rFont val="Arial"/>
            <family val="2"/>
          </rPr>
          <t>Krf + B (Km - Krf)</t>
        </r>
      </text>
    </comment>
    <comment ref="B174" authorId="0" shapeId="0" xr:uid="{BA92CE05-B4DB-4DD4-9BBD-00FF5A9DFA9A}">
      <text>
        <r>
          <rPr>
            <sz val="10"/>
            <color rgb="FF000000"/>
            <rFont val="Arial"/>
            <family val="2"/>
          </rPr>
          <t>Tasa de los bonos de tesoro de usa
'Tasa libre de riesgo'</t>
        </r>
      </text>
    </comment>
    <comment ref="B175" authorId="0" shapeId="0" xr:uid="{B6CFF4C8-6CAF-4103-A5AC-80BB82EA475A}">
      <text>
        <r>
          <rPr>
            <sz val="10"/>
            <color rgb="FF000000"/>
            <rFont val="Arial"/>
            <family val="2"/>
          </rPr>
          <t>Riesgo que yo tengo.
Si la empresa esta perfectamente correlacionada con el mercado, el valor es 1</t>
        </r>
      </text>
    </comment>
    <comment ref="B176" authorId="0" shapeId="0" xr:uid="{27351E14-C284-43DF-A620-3B60978D96B0}">
      <text>
        <r>
          <rPr>
            <sz val="10"/>
            <color rgb="FF000000"/>
            <rFont val="Arial"/>
            <family val="2"/>
          </rPr>
          <t>Rentabilidad del mercado (X mejores empresas del mercado)
'valor esperado del mercado'</t>
        </r>
      </text>
    </comment>
    <comment ref="B177" authorId="0" shapeId="0" xr:uid="{8833660F-BC55-4540-99EA-81C78BB3569F}">
      <text>
        <r>
          <rPr>
            <sz val="10"/>
            <color rgb="FF000000"/>
            <rFont val="Arial"/>
            <family val="2"/>
          </rPr>
          <t>impuesto a las ganancias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0" authorId="0" shapeId="0" xr:uid="{00000000-0006-0000-1600-000001000000}">
      <text>
        <r>
          <rPr>
            <sz val="10"/>
            <color rgb="FF000000"/>
            <rFont val="Arial"/>
            <family val="2"/>
          </rPr>
          <t>KeX1 + KdX2* (1-t)</t>
        </r>
      </text>
    </comment>
    <comment ref="A42" authorId="0" shapeId="0" xr:uid="{00000000-0006-0000-1600-000002000000}">
      <text>
        <r>
          <rPr>
            <sz val="10"/>
            <color rgb="FF000000"/>
            <rFont val="Arial"/>
            <family val="2"/>
          </rPr>
          <t>Krf + B (Km - Krf)</t>
        </r>
      </text>
    </comment>
    <comment ref="A43" authorId="0" shapeId="0" xr:uid="{00000000-0006-0000-1600-000003000000}">
      <text>
        <r>
          <rPr>
            <sz val="10"/>
            <color rgb="FF000000"/>
            <rFont val="Arial"/>
            <family val="2"/>
          </rPr>
          <t>Tasa de los bonos de tesoro de usa
'Tasa libre de riesgo'</t>
        </r>
      </text>
    </comment>
    <comment ref="A44" authorId="0" shapeId="0" xr:uid="{00000000-0006-0000-1600-000004000000}">
      <text>
        <r>
          <rPr>
            <sz val="10"/>
            <color rgb="FF000000"/>
            <rFont val="Arial"/>
            <family val="2"/>
          </rPr>
          <t>Riesgo que yo tengo.
Si la empresa esta perfectamente correlacionada con el mercado, el valor es 1</t>
        </r>
      </text>
    </comment>
    <comment ref="A45" authorId="0" shapeId="0" xr:uid="{00000000-0006-0000-1600-000005000000}">
      <text>
        <r>
          <rPr>
            <sz val="10"/>
            <color rgb="FF000000"/>
            <rFont val="Arial"/>
            <family val="2"/>
          </rPr>
          <t>Rentabilidad del mercado (X mejores empresas del mercado)
'valor esperado del mercado'</t>
        </r>
      </text>
    </comment>
    <comment ref="A46" authorId="0" shapeId="0" xr:uid="{00000000-0006-0000-1600-000006000000}">
      <text>
        <r>
          <rPr>
            <sz val="10"/>
            <color rgb="FF000000"/>
            <rFont val="Arial"/>
            <family val="2"/>
          </rPr>
          <t>impuesto a las ganancias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B170" authorId="0" shapeId="0" xr:uid="{35A4D502-BD4B-4EFB-9D09-29DA5C6B9825}">
      <text>
        <r>
          <rPr>
            <sz val="10"/>
            <color rgb="FF000000"/>
            <rFont val="Arial"/>
            <family val="2"/>
          </rPr>
          <t>KeX1 + KdX2* (1-t)</t>
        </r>
      </text>
    </comment>
    <comment ref="B172" authorId="0" shapeId="0" xr:uid="{4E40D014-0352-41AC-B88B-FEA4174A3BBC}">
      <text>
        <r>
          <rPr>
            <sz val="10"/>
            <color rgb="FF000000"/>
            <rFont val="Arial"/>
            <family val="2"/>
          </rPr>
          <t>Krf + B (Km - Krf)</t>
        </r>
      </text>
    </comment>
    <comment ref="B173" authorId="0" shapeId="0" xr:uid="{4E2F0716-0005-497E-A73A-2126144179C7}">
      <text>
        <r>
          <rPr>
            <sz val="10"/>
            <color rgb="FF000000"/>
            <rFont val="Arial"/>
            <family val="2"/>
          </rPr>
          <t>Tasa de los bonos de tesoro de usa
'Tasa libre de riesgo'</t>
        </r>
      </text>
    </comment>
    <comment ref="B174" authorId="0" shapeId="0" xr:uid="{BB0B2142-8F19-42F1-A501-3D1DD4C1AB27}">
      <text>
        <r>
          <rPr>
            <sz val="10"/>
            <color rgb="FF000000"/>
            <rFont val="Arial"/>
            <family val="2"/>
          </rPr>
          <t>Riesgo que yo tengo.
Si la empresa esta perfectamente correlacionada con el mercado, el valor es 1</t>
        </r>
      </text>
    </comment>
    <comment ref="B175" authorId="0" shapeId="0" xr:uid="{F5569676-482A-436E-A0DC-CE519427A90D}">
      <text>
        <r>
          <rPr>
            <sz val="10"/>
            <color rgb="FF000000"/>
            <rFont val="Arial"/>
            <family val="2"/>
          </rPr>
          <t>Rentabilidad del mercado (X mejores empresas del mercado)
'valor esperado del mercado'</t>
        </r>
      </text>
    </comment>
    <comment ref="B176" authorId="0" shapeId="0" xr:uid="{9E7338C1-659A-46F6-8B0E-AB2303A44660}">
      <text>
        <r>
          <rPr>
            <sz val="10"/>
            <color rgb="FF000000"/>
            <rFont val="Arial"/>
            <family val="2"/>
          </rPr>
          <t>impuesto a las ganancias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B174" authorId="0" shapeId="0" xr:uid="{3E294269-EC0D-4A8A-BAD6-C0977B9E05A0}">
      <text>
        <r>
          <rPr>
            <sz val="10"/>
            <color rgb="FF000000"/>
            <rFont val="Arial"/>
          </rPr>
          <t>======
ID#AAAAVVwrU2M
    (2022-03-04 23:42:34)
KeX1 + KdX2* (1-t)</t>
        </r>
      </text>
    </comment>
    <comment ref="B180" authorId="0" shapeId="0" xr:uid="{56CE3570-BD4A-463E-89F0-B628174EBD9F}">
      <text>
        <r>
          <rPr>
            <sz val="10"/>
            <color rgb="FF000000"/>
            <rFont val="Arial"/>
            <family val="2"/>
          </rPr>
          <t>KeX1 + KdX2* (1-t)</t>
        </r>
      </text>
    </comment>
    <comment ref="B182" authorId="0" shapeId="0" xr:uid="{796F0F00-1572-450B-AB9C-8EC945046C59}">
      <text>
        <r>
          <rPr>
            <sz val="10"/>
            <color rgb="FF000000"/>
            <rFont val="Arial"/>
            <family val="2"/>
          </rPr>
          <t>Krf + B (Km - Krf)</t>
        </r>
      </text>
    </comment>
    <comment ref="B183" authorId="0" shapeId="0" xr:uid="{EBE8D1EC-918B-447F-8CD5-D4FBB30ED8A1}">
      <text>
        <r>
          <rPr>
            <sz val="10"/>
            <color rgb="FF000000"/>
            <rFont val="Arial"/>
            <family val="2"/>
          </rPr>
          <t>Tasa de los bonos de tesoro de usa
'Tasa libre de riesgo'</t>
        </r>
      </text>
    </comment>
    <comment ref="B184" authorId="0" shapeId="0" xr:uid="{F0F77794-A453-4056-B20B-EB8E5C43AB8F}">
      <text>
        <r>
          <rPr>
            <sz val="10"/>
            <color rgb="FF000000"/>
            <rFont val="Arial"/>
            <family val="2"/>
          </rPr>
          <t>Riesgo que yo tengo.
Si la empresa esta perfectamente correlacionada con el mercado, el valor es 1</t>
        </r>
      </text>
    </comment>
    <comment ref="B185" authorId="0" shapeId="0" xr:uid="{D0E6DBE6-E520-432A-A278-8F0691F358BA}">
      <text>
        <r>
          <rPr>
            <sz val="10"/>
            <color rgb="FF000000"/>
            <rFont val="Arial"/>
            <family val="2"/>
          </rPr>
          <t>Rentabilidad del mercado (X mejores empresas del mercado)
'valor esperado del mercado'</t>
        </r>
      </text>
    </comment>
    <comment ref="B186" authorId="0" shapeId="0" xr:uid="{9BB219EB-34AA-4AB6-B373-EBAD12D1A6AA}">
      <text>
        <r>
          <rPr>
            <sz val="10"/>
            <color rgb="FF000000"/>
            <rFont val="Arial"/>
            <family val="2"/>
          </rPr>
          <t>impuesto a las ganancias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B174" authorId="0" shapeId="0" xr:uid="{A929D5ED-D335-4639-AB17-BA6312B8F5C2}">
      <text>
        <r>
          <rPr>
            <sz val="10"/>
            <color rgb="FF000000"/>
            <rFont val="Arial"/>
            <family val="2"/>
          </rPr>
          <t>KeX1 + KdX2* (1-t)</t>
        </r>
      </text>
    </comment>
    <comment ref="B176" authorId="0" shapeId="0" xr:uid="{190FCB00-2D6E-410D-A868-C81DDAC88EB9}">
      <text>
        <r>
          <rPr>
            <sz val="10"/>
            <color rgb="FF000000"/>
            <rFont val="Arial"/>
            <family val="2"/>
          </rPr>
          <t>Krf + B (Km - Krf)</t>
        </r>
      </text>
    </comment>
    <comment ref="B177" authorId="0" shapeId="0" xr:uid="{3A4011B8-7F3C-41A9-90C3-4C055B973EF9}">
      <text>
        <r>
          <rPr>
            <sz val="10"/>
            <color rgb="FF000000"/>
            <rFont val="Arial"/>
            <family val="2"/>
          </rPr>
          <t>Tasa de los bonos de tesoro de usa
'Tasa libre de riesgo'</t>
        </r>
      </text>
    </comment>
    <comment ref="B178" authorId="0" shapeId="0" xr:uid="{B220CF36-1A2E-41ED-BA41-E0864B9D254A}">
      <text>
        <r>
          <rPr>
            <sz val="10"/>
            <color rgb="FF000000"/>
            <rFont val="Arial"/>
            <family val="2"/>
          </rPr>
          <t>Riesgo que yo tengo.
Si la empresa esta perfectamente correlacionada con el mercado, el valor es 1</t>
        </r>
      </text>
    </comment>
    <comment ref="B179" authorId="0" shapeId="0" xr:uid="{A07E730B-6D85-4DF3-93EE-ED008F88E05E}">
      <text>
        <r>
          <rPr>
            <sz val="10"/>
            <color rgb="FF000000"/>
            <rFont val="Arial"/>
            <family val="2"/>
          </rPr>
          <t>Rentabilidad del mercado (X mejores empresas del mercado)
'valor esperado del mercado'</t>
        </r>
      </text>
    </comment>
    <comment ref="B180" authorId="0" shapeId="0" xr:uid="{5ADF81C3-793E-4D60-BEE2-D16FF93886AD}">
      <text>
        <r>
          <rPr>
            <sz val="10"/>
            <color rgb="FF000000"/>
            <rFont val="Arial"/>
            <family val="2"/>
          </rPr>
          <t>impuesto a las ganancias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B175" authorId="0" shapeId="0" xr:uid="{17A8B2D3-5311-44DB-BA2F-059B8215FBC7}">
      <text>
        <r>
          <rPr>
            <sz val="10"/>
            <color rgb="FF000000"/>
            <rFont val="Arial"/>
            <family val="2"/>
          </rPr>
          <t>KeX1 + KdX2* (1-t)</t>
        </r>
      </text>
    </comment>
    <comment ref="B177" authorId="0" shapeId="0" xr:uid="{2E259B55-259F-4BC7-88B8-F7AB9A7D0B98}">
      <text>
        <r>
          <rPr>
            <sz val="10"/>
            <color rgb="FF000000"/>
            <rFont val="Arial"/>
            <family val="2"/>
          </rPr>
          <t>Krf + B (Km - Krf)</t>
        </r>
      </text>
    </comment>
    <comment ref="B178" authorId="0" shapeId="0" xr:uid="{B2450338-7BDD-44B2-BA4B-79BE30E1F2AF}">
      <text>
        <r>
          <rPr>
            <sz val="10"/>
            <color rgb="FF000000"/>
            <rFont val="Arial"/>
            <family val="2"/>
          </rPr>
          <t>Tasa de los bonos de tesoro de usa
'Tasa libre de riesgo'</t>
        </r>
      </text>
    </comment>
    <comment ref="B179" authorId="0" shapeId="0" xr:uid="{902D5F56-469D-45A2-9B61-D2E4E3410690}">
      <text>
        <r>
          <rPr>
            <sz val="10"/>
            <color rgb="FF000000"/>
            <rFont val="Arial"/>
            <family val="2"/>
          </rPr>
          <t>Riesgo que yo tengo.
Si la empresa esta perfectamente correlacionada con el mercado, el valor es 1</t>
        </r>
      </text>
    </comment>
    <comment ref="B180" authorId="0" shapeId="0" xr:uid="{82CE3E2A-6E68-4FB7-AD9B-6DBE83C90AE6}">
      <text>
        <r>
          <rPr>
            <sz val="10"/>
            <color rgb="FF000000"/>
            <rFont val="Arial"/>
            <family val="2"/>
          </rPr>
          <t>Rentabilidad del mercado (X mejores empresas del mercado)
'valor esperado del mercado'</t>
        </r>
      </text>
    </comment>
    <comment ref="B181" authorId="0" shapeId="0" xr:uid="{F9B43183-89AE-4A57-9270-7221A3CFCFF0}">
      <text>
        <r>
          <rPr>
            <sz val="10"/>
            <color rgb="FF000000"/>
            <rFont val="Arial"/>
            <family val="2"/>
          </rPr>
          <t>impuesto a las ganancias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B174" authorId="0" shapeId="0" xr:uid="{5B85C5B3-E0A2-4BC8-86D6-0D67DAA801E3}">
      <text>
        <r>
          <rPr>
            <sz val="10"/>
            <color rgb="FF000000"/>
            <rFont val="Arial"/>
            <family val="2"/>
          </rPr>
          <t>KeX1 + KdX2* (1-t)</t>
        </r>
      </text>
    </comment>
    <comment ref="B176" authorId="0" shapeId="0" xr:uid="{3620C866-AC2E-4B5D-A113-A1BC984E110A}">
      <text>
        <r>
          <rPr>
            <sz val="10"/>
            <color rgb="FF000000"/>
            <rFont val="Arial"/>
            <family val="2"/>
          </rPr>
          <t>Krf + B (Km - Krf)</t>
        </r>
      </text>
    </comment>
    <comment ref="B177" authorId="0" shapeId="0" xr:uid="{2DA78DF4-184E-42B5-A437-3D8B960B153E}">
      <text>
        <r>
          <rPr>
            <sz val="10"/>
            <color rgb="FF000000"/>
            <rFont val="Arial"/>
            <family val="2"/>
          </rPr>
          <t>Tasa de los bonos de tesoro de usa
'Tasa libre de riesgo'</t>
        </r>
      </text>
    </comment>
    <comment ref="B178" authorId="0" shapeId="0" xr:uid="{25A4E633-17AB-4124-833F-3F0E67B5F114}">
      <text>
        <r>
          <rPr>
            <sz val="10"/>
            <color rgb="FF000000"/>
            <rFont val="Arial"/>
            <family val="2"/>
          </rPr>
          <t>Riesgo que yo tengo.
Si la empresa esta perfectamente correlacionada con el mercado, el valor es 1</t>
        </r>
      </text>
    </comment>
    <comment ref="B179" authorId="0" shapeId="0" xr:uid="{5BD4A408-E823-4F8E-B0DF-9CD4441F25C3}">
      <text>
        <r>
          <rPr>
            <sz val="10"/>
            <color rgb="FF000000"/>
            <rFont val="Arial"/>
            <family val="2"/>
          </rPr>
          <t>Rentabilidad del mercado (X mejores empresas del mercado)
'valor esperado del mercado'</t>
        </r>
      </text>
    </comment>
    <comment ref="B180" authorId="0" shapeId="0" xr:uid="{370F9C4D-A215-474B-B0DF-21C29B8FE4D1}">
      <text>
        <r>
          <rPr>
            <sz val="10"/>
            <color rgb="FF000000"/>
            <rFont val="Arial"/>
            <family val="2"/>
          </rPr>
          <t>impuesto a las ganancias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B174" authorId="0" shapeId="0" xr:uid="{FA4B86B1-529D-4454-87C9-5E42A7EC7F11}">
      <text>
        <r>
          <rPr>
            <sz val="10"/>
            <color rgb="FF000000"/>
            <rFont val="Arial"/>
            <family val="2"/>
          </rPr>
          <t>KeX1 + KdX2* (1-t)</t>
        </r>
      </text>
    </comment>
    <comment ref="B176" authorId="0" shapeId="0" xr:uid="{7CBD521E-C659-4153-83C4-753D6DDD9E21}">
      <text>
        <r>
          <rPr>
            <sz val="10"/>
            <color rgb="FF000000"/>
            <rFont val="Arial"/>
            <family val="2"/>
          </rPr>
          <t>Krf + B (Km - Krf)</t>
        </r>
      </text>
    </comment>
    <comment ref="B177" authorId="0" shapeId="0" xr:uid="{CC4C7943-B8E1-45F8-A17A-AC9CB3679D74}">
      <text>
        <r>
          <rPr>
            <sz val="10"/>
            <color rgb="FF000000"/>
            <rFont val="Arial"/>
            <family val="2"/>
          </rPr>
          <t>Tasa de los bonos de tesoro de usa
'Tasa libre de riesgo'</t>
        </r>
      </text>
    </comment>
    <comment ref="B178" authorId="0" shapeId="0" xr:uid="{CA57B90A-C8D5-4115-8877-6FD9FEB6265A}">
      <text>
        <r>
          <rPr>
            <sz val="10"/>
            <color rgb="FF000000"/>
            <rFont val="Arial"/>
            <family val="2"/>
          </rPr>
          <t>Riesgo que yo tengo.
Si la empresa esta perfectamente correlacionada con el mercado, el valor es 1</t>
        </r>
      </text>
    </comment>
    <comment ref="B179" authorId="0" shapeId="0" xr:uid="{F8C411E1-17D0-400F-8F11-F1C031A12596}">
      <text>
        <r>
          <rPr>
            <sz val="10"/>
            <color rgb="FF000000"/>
            <rFont val="Arial"/>
            <family val="2"/>
          </rPr>
          <t>Rentabilidad del mercado (X mejores empresas del mercado)
'valor esperado del mercado'</t>
        </r>
      </text>
    </comment>
    <comment ref="B180" authorId="0" shapeId="0" xr:uid="{00D1B409-4AB3-470B-B7E6-84A225CFC070}">
      <text>
        <r>
          <rPr>
            <sz val="10"/>
            <color rgb="FF000000"/>
            <rFont val="Arial"/>
            <family val="2"/>
          </rPr>
          <t>impuesto a las ganancias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authors>
  <commentList>
    <comment ref="B174" authorId="0" shapeId="0" xr:uid="{9502DE83-AFAD-46D1-8FF4-0434C216EB2B}">
      <text>
        <r>
          <rPr>
            <sz val="10"/>
            <color rgb="FF000000"/>
            <rFont val="Arial"/>
            <family val="2"/>
          </rPr>
          <t>KeX1 + KdX2* (1-t)</t>
        </r>
      </text>
    </comment>
    <comment ref="B176" authorId="0" shapeId="0" xr:uid="{DA441802-1433-4881-93EC-AD2B1F8DCFC5}">
      <text>
        <r>
          <rPr>
            <sz val="10"/>
            <color rgb="FF000000"/>
            <rFont val="Arial"/>
            <family val="2"/>
          </rPr>
          <t>Krf + B (Km - Krf)</t>
        </r>
      </text>
    </comment>
    <comment ref="B177" authorId="0" shapeId="0" xr:uid="{B1D568A2-5A9A-481A-A07D-1C0D79F5A52B}">
      <text>
        <r>
          <rPr>
            <sz val="10"/>
            <color rgb="FF000000"/>
            <rFont val="Arial"/>
            <family val="2"/>
          </rPr>
          <t>Tasa de los bonos de tesoro de usa
'Tasa libre de riesgo'</t>
        </r>
      </text>
    </comment>
    <comment ref="B178" authorId="0" shapeId="0" xr:uid="{450E15F5-EB94-4152-A615-5FBF1EF49391}">
      <text>
        <r>
          <rPr>
            <sz val="10"/>
            <color rgb="FF000000"/>
            <rFont val="Arial"/>
            <family val="2"/>
          </rPr>
          <t>Riesgo que yo tengo.
Si la empresa esta perfectamente correlacionada con el mercado, el valor es 1</t>
        </r>
      </text>
    </comment>
    <comment ref="B179" authorId="0" shapeId="0" xr:uid="{F3F41A29-E506-48C6-ADF1-AD542394DEC1}">
      <text>
        <r>
          <rPr>
            <sz val="10"/>
            <color rgb="FF000000"/>
            <rFont val="Arial"/>
            <family val="2"/>
          </rPr>
          <t>Rentabilidad del mercado (X mejores empresas del mercado)
'valor esperado del mercado'</t>
        </r>
      </text>
    </comment>
    <comment ref="B180" authorId="0" shapeId="0" xr:uid="{3BD90E31-F745-462C-A3C0-88EDA0B9BC3E}">
      <text>
        <r>
          <rPr>
            <sz val="10"/>
            <color rgb="FF000000"/>
            <rFont val="Arial"/>
            <family val="2"/>
          </rPr>
          <t>impuesto a las ganancias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
  </authors>
  <commentList>
    <comment ref="B180" authorId="0" shapeId="0" xr:uid="{D311A2E3-85A1-4188-9FF4-8E25E816A1E8}">
      <text>
        <r>
          <rPr>
            <sz val="10"/>
            <color rgb="FF000000"/>
            <rFont val="Arial"/>
            <family val="2"/>
          </rPr>
          <t>KeX1 + KdX2* (1-t)</t>
        </r>
      </text>
    </comment>
    <comment ref="B182" authorId="0" shapeId="0" xr:uid="{EB56958F-C9BA-4222-A606-538A06AC08ED}">
      <text>
        <r>
          <rPr>
            <sz val="10"/>
            <color rgb="FF000000"/>
            <rFont val="Arial"/>
            <family val="2"/>
          </rPr>
          <t>Krf + B (Km - Krf)</t>
        </r>
      </text>
    </comment>
    <comment ref="B183" authorId="0" shapeId="0" xr:uid="{77D928DC-A90A-4451-8544-5FA720702FA3}">
      <text>
        <r>
          <rPr>
            <sz val="10"/>
            <color rgb="FF000000"/>
            <rFont val="Arial"/>
            <family val="2"/>
          </rPr>
          <t>Tasa de los bonos de tesoro de usa
'Tasa libre de riesgo'</t>
        </r>
      </text>
    </comment>
    <comment ref="B184" authorId="0" shapeId="0" xr:uid="{20B23FC9-8A79-4AA2-AE2C-F8B506023271}">
      <text>
        <r>
          <rPr>
            <sz val="10"/>
            <color rgb="FF000000"/>
            <rFont val="Arial"/>
            <family val="2"/>
          </rPr>
          <t>Riesgo que yo tengo.
Si la empresa esta perfectamente correlacionada con el mercado, el valor es 1</t>
        </r>
      </text>
    </comment>
    <comment ref="B185" authorId="0" shapeId="0" xr:uid="{3D8F33C5-ED4F-467A-92AC-7B22620C3C60}">
      <text>
        <r>
          <rPr>
            <sz val="10"/>
            <color rgb="FF000000"/>
            <rFont val="Arial"/>
            <family val="2"/>
          </rPr>
          <t>Rentabilidad del mercado (X mejores empresas del mercado)
'valor esperado del mercado'</t>
        </r>
      </text>
    </comment>
    <comment ref="B186" authorId="0" shapeId="0" xr:uid="{7F8CD55B-CE45-445A-B8AD-CC216BDAD1B7}">
      <text>
        <r>
          <rPr>
            <sz val="10"/>
            <color rgb="FF000000"/>
            <rFont val="Arial"/>
            <family val="2"/>
          </rPr>
          <t>impuesto a las ganancias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
  </authors>
  <commentList>
    <comment ref="B180" authorId="0" shapeId="0" xr:uid="{5004CF64-1552-4A84-82C4-21F1B5A9B1EF}">
      <text>
        <r>
          <rPr>
            <sz val="10"/>
            <color rgb="FF000000"/>
            <rFont val="Arial"/>
            <family val="2"/>
          </rPr>
          <t>KeX1 + KdX2* (1-t)</t>
        </r>
      </text>
    </comment>
    <comment ref="B182" authorId="0" shapeId="0" xr:uid="{380D9606-5EF8-4A4A-AB3D-6A31533777E0}">
      <text>
        <r>
          <rPr>
            <sz val="10"/>
            <color rgb="FF000000"/>
            <rFont val="Arial"/>
            <family val="2"/>
          </rPr>
          <t>Krf + B (Km - Krf)</t>
        </r>
      </text>
    </comment>
    <comment ref="B183" authorId="0" shapeId="0" xr:uid="{ACED9F3C-1DE9-49E4-A7C8-01EC5C45BAC3}">
      <text>
        <r>
          <rPr>
            <sz val="10"/>
            <color rgb="FF000000"/>
            <rFont val="Arial"/>
            <family val="2"/>
          </rPr>
          <t>Tasa de los bonos de tesoro de usa
'Tasa libre de riesgo'</t>
        </r>
      </text>
    </comment>
    <comment ref="B184" authorId="0" shapeId="0" xr:uid="{77729DA8-7588-4923-9BD8-02DC4E120076}">
      <text>
        <r>
          <rPr>
            <sz val="10"/>
            <color rgb="FF000000"/>
            <rFont val="Arial"/>
            <family val="2"/>
          </rPr>
          <t>Riesgo que yo tengo.
Si la empresa esta perfectamente correlacionada con el mercado, el valor es 1</t>
        </r>
      </text>
    </comment>
    <comment ref="B185" authorId="0" shapeId="0" xr:uid="{77BF8521-BF59-41B7-9398-2BF92A572DB1}">
      <text>
        <r>
          <rPr>
            <sz val="10"/>
            <color rgb="FF000000"/>
            <rFont val="Arial"/>
            <family val="2"/>
          </rPr>
          <t>Rentabilidad del mercado (X mejores empresas del mercado)
'valor esperado del mercado'</t>
        </r>
      </text>
    </comment>
    <comment ref="B186" authorId="0" shapeId="0" xr:uid="{F2060A45-BFC4-4F1A-B2B7-CF7036CEEE07}">
      <text>
        <r>
          <rPr>
            <sz val="10"/>
            <color rgb="FF000000"/>
            <rFont val="Arial"/>
            <family val="2"/>
          </rPr>
          <t>impuesto a las ganancias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
  </authors>
  <commentList>
    <comment ref="B176" authorId="0" shapeId="0" xr:uid="{9E9D07D3-6329-4AAC-A573-240ED457AA0C}">
      <text>
        <r>
          <rPr>
            <sz val="10"/>
            <color rgb="FF000000"/>
            <rFont val="Arial"/>
            <family val="2"/>
          </rPr>
          <t>KeX1 + KdX2* (1-t)</t>
        </r>
      </text>
    </comment>
    <comment ref="B178" authorId="0" shapeId="0" xr:uid="{F2EC2346-EF3D-4BE8-806C-2A6018498C0E}">
      <text>
        <r>
          <rPr>
            <sz val="10"/>
            <color rgb="FF000000"/>
            <rFont val="Arial"/>
            <family val="2"/>
          </rPr>
          <t>Krf + B (Km - Krf)</t>
        </r>
      </text>
    </comment>
    <comment ref="B179" authorId="0" shapeId="0" xr:uid="{0801F180-CCF2-40B1-B92A-ECF6CB8D5EB9}">
      <text>
        <r>
          <rPr>
            <sz val="10"/>
            <color rgb="FF000000"/>
            <rFont val="Arial"/>
            <family val="2"/>
          </rPr>
          <t>Tasa de los bonos de tesoro de usa
'Tasa libre de riesgo'</t>
        </r>
      </text>
    </comment>
    <comment ref="B180" authorId="0" shapeId="0" xr:uid="{4EC58863-20CA-4372-9491-1FC194BFE221}">
      <text>
        <r>
          <rPr>
            <sz val="10"/>
            <color rgb="FF000000"/>
            <rFont val="Arial"/>
            <family val="2"/>
          </rPr>
          <t>Riesgo que yo tengo.
Si la empresa esta perfectamente correlacionada con el mercado, el valor es 1</t>
        </r>
      </text>
    </comment>
    <comment ref="B181" authorId="0" shapeId="0" xr:uid="{AF73DC0F-8610-46A0-B26F-8999D196FB16}">
      <text>
        <r>
          <rPr>
            <sz val="10"/>
            <color rgb="FF000000"/>
            <rFont val="Arial"/>
            <family val="2"/>
          </rPr>
          <t>Rentabilidad del mercado (X mejores empresas del mercado)
'valor esperado del mercado'</t>
        </r>
      </text>
    </comment>
    <comment ref="B182" authorId="0" shapeId="0" xr:uid="{6FFC05F3-8585-4CF0-8673-9D528C102ADB}">
      <text>
        <r>
          <rPr>
            <sz val="10"/>
            <color rgb="FF000000"/>
            <rFont val="Arial"/>
            <family val="2"/>
          </rPr>
          <t>impuesto a las ganancias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2" authorId="0" shapeId="0" xr:uid="{00000000-0006-0000-1700-000001000000}">
      <text>
        <r>
          <rPr>
            <sz val="10"/>
            <color rgb="FF000000"/>
            <rFont val="Arial"/>
            <family val="2"/>
          </rPr>
          <t>KeX1 + KdX2* (1-t)</t>
        </r>
      </text>
    </comment>
    <comment ref="A44" authorId="0" shapeId="0" xr:uid="{00000000-0006-0000-1700-000002000000}">
      <text>
        <r>
          <rPr>
            <sz val="10"/>
            <color rgb="FF000000"/>
            <rFont val="Arial"/>
            <family val="2"/>
          </rPr>
          <t>Krf + B (Km - Krf)</t>
        </r>
      </text>
    </comment>
    <comment ref="A45" authorId="0" shapeId="0" xr:uid="{00000000-0006-0000-1700-000003000000}">
      <text>
        <r>
          <rPr>
            <sz val="10"/>
            <color rgb="FF000000"/>
            <rFont val="Arial"/>
            <family val="2"/>
          </rPr>
          <t>Tasa de los bonos de tesoro de usa
'Tasa libre de riesgo'</t>
        </r>
      </text>
    </comment>
    <comment ref="A46" authorId="0" shapeId="0" xr:uid="{00000000-0006-0000-1700-000004000000}">
      <text>
        <r>
          <rPr>
            <sz val="10"/>
            <color rgb="FF000000"/>
            <rFont val="Arial"/>
            <family val="2"/>
          </rPr>
          <t>Riesgo que yo tengo.
Si la empresa esta perfectamente correlacionada con el mercado, el valor es 1</t>
        </r>
      </text>
    </comment>
    <comment ref="A47" authorId="0" shapeId="0" xr:uid="{00000000-0006-0000-1700-000005000000}">
      <text>
        <r>
          <rPr>
            <sz val="10"/>
            <color rgb="FF000000"/>
            <rFont val="Arial"/>
            <family val="2"/>
          </rPr>
          <t>Rentabilidad del mercado (X mejores empresas del mercado)
'valor esperado del mercado'</t>
        </r>
      </text>
    </comment>
    <comment ref="A48" authorId="0" shapeId="0" xr:uid="{00000000-0006-0000-1700-000006000000}">
      <text>
        <r>
          <rPr>
            <sz val="10"/>
            <color rgb="FF000000"/>
            <rFont val="Arial"/>
            <family val="2"/>
          </rPr>
          <t>impuesto a las ganancias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2CC38B85-271D-4C29-AFEE-93232CB1B3C3}">
      <text>
        <r>
          <rPr>
            <sz val="10"/>
            <color rgb="FF000000"/>
            <rFont val="Arial"/>
          </rPr>
          <t>======
ID#AAAAS-Nnes4
    (2021-12-17 16:44:02)
Rentabilidad del mercado (X mejores empresas del mercado)
'valor esperado del mercado'</t>
        </r>
      </text>
    </comment>
    <comment ref="B12" authorId="0" shapeId="0" xr:uid="{C6C17350-E84A-49D8-9FB1-8A998724A52D}">
      <text>
        <r>
          <rPr>
            <sz val="10"/>
            <color rgb="FF000000"/>
            <rFont val="Arial"/>
          </rPr>
          <t>======
ID#AAAAS-Nnes0
    (2021-12-17 16:44:02)
Porcentaje de costo de la deuda</t>
        </r>
      </text>
    </comment>
    <comment ref="B16" authorId="0" shapeId="0" xr:uid="{FDEABA2F-663B-43F5-A5C3-44C3EB031684}">
      <text>
        <r>
          <rPr>
            <sz val="10"/>
            <color rgb="FF000000"/>
            <rFont val="Arial"/>
          </rPr>
          <t>======
ID#AAAAS-Nnesc
    (2021-12-17 16:44:02)
KeX1 + KdX2* (1-t)</t>
        </r>
      </text>
    </comment>
    <comment ref="B57" authorId="0" shapeId="0" xr:uid="{78598122-5689-422E-88BD-523FEA86BB06}">
      <text>
        <r>
          <rPr>
            <sz val="10"/>
            <color rgb="FF000000"/>
            <rFont val="Arial"/>
          </rPr>
          <t>======
ID#AAAAS-Nnes4
    (2021-12-17 16:44:02)
Rentabilidad del mercado (X mejores empresas del mercado)
'valor esperado del mercado'</t>
        </r>
      </text>
    </comment>
    <comment ref="B61" authorId="0" shapeId="0" xr:uid="{3D29172C-73B4-430A-8945-720676C27974}">
      <text>
        <r>
          <rPr>
            <sz val="10"/>
            <color rgb="FF000000"/>
            <rFont val="Arial"/>
          </rPr>
          <t>======
ID#AAAAS-Nnes0
    (2021-12-17 16:44:02)
Porcentaje de costo de la deuda</t>
        </r>
      </text>
    </comment>
    <comment ref="B65" authorId="0" shapeId="0" xr:uid="{042A647C-3B67-424F-B939-BD4AFF9A8C28}">
      <text>
        <r>
          <rPr>
            <sz val="10"/>
            <color rgb="FF000000"/>
            <rFont val="Arial"/>
          </rPr>
          <t>======
ID#AAAAS-Nnesc
    (2021-12-17 16:44:02)
KeX1 + KdX2* (1-t)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I9" authorId="0" shapeId="0" xr:uid="{00000000-0006-0000-1800-000001000000}">
      <text>
        <r>
          <rPr>
            <sz val="10"/>
            <color rgb="FF000000"/>
            <rFont val="Arial"/>
            <family val="2"/>
          </rPr>
          <t>Aplico descuento
	-Arturo Anton
el de unica vez
	-Arturo Anton</t>
        </r>
      </text>
    </comment>
    <comment ref="A42" authorId="0" shapeId="0" xr:uid="{00000000-0006-0000-1800-000002000000}">
      <text>
        <r>
          <rPr>
            <sz val="10"/>
            <color rgb="FF000000"/>
            <rFont val="Arial"/>
            <family val="2"/>
          </rPr>
          <t>KeX1 + KdX2* (1-t)</t>
        </r>
      </text>
    </comment>
    <comment ref="A44" authorId="0" shapeId="0" xr:uid="{00000000-0006-0000-1800-000003000000}">
      <text>
        <r>
          <rPr>
            <sz val="10"/>
            <color rgb="FF000000"/>
            <rFont val="Arial"/>
            <family val="2"/>
          </rPr>
          <t>Krf + B (Km - Krf)</t>
        </r>
      </text>
    </comment>
    <comment ref="A45" authorId="0" shapeId="0" xr:uid="{00000000-0006-0000-1800-000004000000}">
      <text>
        <r>
          <rPr>
            <sz val="10"/>
            <color rgb="FF000000"/>
            <rFont val="Arial"/>
            <family val="2"/>
          </rPr>
          <t>Tasa de los bonos de tesoro de usa
'Tasa libre de riesgo'</t>
        </r>
      </text>
    </comment>
    <comment ref="A46" authorId="0" shapeId="0" xr:uid="{00000000-0006-0000-1800-000005000000}">
      <text>
        <r>
          <rPr>
            <sz val="10"/>
            <color rgb="FF000000"/>
            <rFont val="Arial"/>
            <family val="2"/>
          </rPr>
          <t>Riesgo que yo tengo.
Si la empresa esta perfectamente correlacionada con el mercado, el valor es 1</t>
        </r>
      </text>
    </comment>
    <comment ref="A47" authorId="0" shapeId="0" xr:uid="{00000000-0006-0000-1800-000006000000}">
      <text>
        <r>
          <rPr>
            <sz val="10"/>
            <color rgb="FF000000"/>
            <rFont val="Arial"/>
            <family val="2"/>
          </rPr>
          <t>Rentabilidad del mercado (X mejores empresas del mercado)
'valor esperado del mercado'</t>
        </r>
      </text>
    </comment>
    <comment ref="A48" authorId="0" shapeId="0" xr:uid="{00000000-0006-0000-1800-000007000000}">
      <text>
        <r>
          <rPr>
            <sz val="10"/>
            <color rgb="FF000000"/>
            <rFont val="Arial"/>
            <family val="2"/>
          </rPr>
          <t>impuesto a las ganancias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I5" authorId="0" shapeId="0" xr:uid="{00000000-0006-0000-1900-000001000000}">
      <text>
        <r>
          <rPr>
            <sz val="10"/>
            <color rgb="FF000000"/>
            <rFont val="Arial"/>
            <family val="2"/>
          </rPr>
          <t>Otros chicos pusieron 47500 y 55000 
47500 sale de 80000+15000/2 
55k sale de 40k + 15k
Pero en el enunciado solo deice al final se estima vender en 15k
	-Arturo Anton</t>
        </r>
      </text>
    </comment>
    <comment ref="A44" authorId="0" shapeId="0" xr:uid="{00000000-0006-0000-1900-000002000000}">
      <text>
        <r>
          <rPr>
            <sz val="10"/>
            <color rgb="FF000000"/>
            <rFont val="Arial"/>
            <family val="2"/>
          </rPr>
          <t>KeX1 + KdX2* (1-t)</t>
        </r>
      </text>
    </comment>
    <comment ref="A46" authorId="0" shapeId="0" xr:uid="{00000000-0006-0000-1900-000003000000}">
      <text>
        <r>
          <rPr>
            <sz val="10"/>
            <color rgb="FF000000"/>
            <rFont val="Arial"/>
            <family val="2"/>
          </rPr>
          <t>Krf + B (Km - Krf)</t>
        </r>
      </text>
    </comment>
    <comment ref="A47" authorId="0" shapeId="0" xr:uid="{00000000-0006-0000-1900-000004000000}">
      <text>
        <r>
          <rPr>
            <sz val="10"/>
            <color rgb="FF000000"/>
            <rFont val="Arial"/>
            <family val="2"/>
          </rPr>
          <t>Tasa de los bonos de tesoro de usa
'Tasa libre de riesgo'</t>
        </r>
      </text>
    </comment>
    <comment ref="A48" authorId="0" shapeId="0" xr:uid="{00000000-0006-0000-1900-000005000000}">
      <text>
        <r>
          <rPr>
            <sz val="10"/>
            <color rgb="FF000000"/>
            <rFont val="Arial"/>
            <family val="2"/>
          </rPr>
          <t>Riesgo que yo tengo.
Si la empresa esta perfectamente correlacionada con el mercado, el valor es 1</t>
        </r>
      </text>
    </comment>
    <comment ref="A49" authorId="0" shapeId="0" xr:uid="{00000000-0006-0000-1900-000006000000}">
      <text>
        <r>
          <rPr>
            <sz val="10"/>
            <color rgb="FF000000"/>
            <rFont val="Arial"/>
            <family val="2"/>
          </rPr>
          <t>Rentabilidad del mercado (X mejores empresas del mercado)
'valor esperado del mercado'</t>
        </r>
      </text>
    </comment>
    <comment ref="A50" authorId="0" shapeId="0" xr:uid="{00000000-0006-0000-1900-000007000000}">
      <text>
        <r>
          <rPr>
            <sz val="10"/>
            <color rgb="FF000000"/>
            <rFont val="Arial"/>
            <family val="2"/>
          </rPr>
          <t>impuesto a las ganancias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4" authorId="0" shapeId="0" xr:uid="{00000000-0006-0000-1A00-000001000000}">
      <text>
        <r>
          <rPr>
            <sz val="10"/>
            <color rgb="FF000000"/>
            <rFont val="Arial"/>
            <family val="2"/>
          </rPr>
          <t>KeX1 + KdX2* (1-t)</t>
        </r>
      </text>
    </comment>
    <comment ref="A46" authorId="0" shapeId="0" xr:uid="{00000000-0006-0000-1A00-000002000000}">
      <text>
        <r>
          <rPr>
            <sz val="10"/>
            <color rgb="FF000000"/>
            <rFont val="Arial"/>
            <family val="2"/>
          </rPr>
          <t>Krf + B (Km - Krf)</t>
        </r>
      </text>
    </comment>
    <comment ref="A47" authorId="0" shapeId="0" xr:uid="{00000000-0006-0000-1A00-000003000000}">
      <text>
        <r>
          <rPr>
            <sz val="10"/>
            <color rgb="FF000000"/>
            <rFont val="Arial"/>
            <family val="2"/>
          </rPr>
          <t>Tasa de los bonos de tesoro de usa
'Tasa libre de riesgo'</t>
        </r>
      </text>
    </comment>
    <comment ref="A48" authorId="0" shapeId="0" xr:uid="{00000000-0006-0000-1A00-000004000000}">
      <text>
        <r>
          <rPr>
            <sz val="10"/>
            <color rgb="FF000000"/>
            <rFont val="Arial"/>
            <family val="2"/>
          </rPr>
          <t>Riesgo que yo tengo.
Si la empresa esta perfectamente correlacionada con el mercado, el valor es 1</t>
        </r>
      </text>
    </comment>
    <comment ref="A49" authorId="0" shapeId="0" xr:uid="{00000000-0006-0000-1A00-000005000000}">
      <text>
        <r>
          <rPr>
            <sz val="10"/>
            <color rgb="FF000000"/>
            <rFont val="Arial"/>
            <family val="2"/>
          </rPr>
          <t>Rentabilidad del mercado (X mejores empresas del mercado)
'valor esperado del mercado'</t>
        </r>
      </text>
    </comment>
    <comment ref="A50" authorId="0" shapeId="0" xr:uid="{00000000-0006-0000-1A00-000006000000}">
      <text>
        <r>
          <rPr>
            <sz val="10"/>
            <color rgb="FF000000"/>
            <rFont val="Arial"/>
            <family val="2"/>
          </rPr>
          <t>impuesto a las ganancias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51" authorId="0" shapeId="0" xr:uid="{00000000-0006-0000-1B00-000001000000}">
      <text>
        <r>
          <rPr>
            <sz val="10"/>
            <color rgb="FF000000"/>
            <rFont val="Arial"/>
            <family val="2"/>
          </rPr>
          <t>KeX1 + KdX2* (1-t)</t>
        </r>
      </text>
    </comment>
    <comment ref="A53" authorId="0" shapeId="0" xr:uid="{00000000-0006-0000-1B00-000002000000}">
      <text>
        <r>
          <rPr>
            <sz val="10"/>
            <color rgb="FF000000"/>
            <rFont val="Arial"/>
            <family val="2"/>
          </rPr>
          <t>Krf + B (Km - Krf)</t>
        </r>
      </text>
    </comment>
    <comment ref="A54" authorId="0" shapeId="0" xr:uid="{00000000-0006-0000-1B00-000003000000}">
      <text>
        <r>
          <rPr>
            <sz val="10"/>
            <color rgb="FF000000"/>
            <rFont val="Arial"/>
            <family val="2"/>
          </rPr>
          <t>Tasa de los bonos de tesoro de usa
'Tasa libre de riesgo'</t>
        </r>
      </text>
    </comment>
    <comment ref="A55" authorId="0" shapeId="0" xr:uid="{00000000-0006-0000-1B00-000004000000}">
      <text>
        <r>
          <rPr>
            <sz val="10"/>
            <color rgb="FF000000"/>
            <rFont val="Arial"/>
            <family val="2"/>
          </rPr>
          <t>Riesgo que yo tengo.
Si la empresa esta perfectamente correlacionada con el mercado, el valor es 1</t>
        </r>
      </text>
    </comment>
    <comment ref="A56" authorId="0" shapeId="0" xr:uid="{00000000-0006-0000-1B00-000005000000}">
      <text>
        <r>
          <rPr>
            <sz val="10"/>
            <color rgb="FF000000"/>
            <rFont val="Arial"/>
            <family val="2"/>
          </rPr>
          <t>Rentabilidad del mercado (X mejores empresas del mercado)
'valor esperado del mercado'</t>
        </r>
      </text>
    </comment>
    <comment ref="A57" authorId="0" shapeId="0" xr:uid="{00000000-0006-0000-1B00-000006000000}">
      <text>
        <r>
          <rPr>
            <sz val="10"/>
            <color rgb="FF000000"/>
            <rFont val="Arial"/>
            <family val="2"/>
          </rPr>
          <t>impuesto a las ganancias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00000000-0006-0000-1C00-000001000000}">
      <text>
        <r>
          <rPr>
            <sz val="10"/>
            <color rgb="FF000000"/>
            <rFont val="Arial"/>
            <family val="2"/>
          </rPr>
          <t xml:space="preserve">Sale del campo de prestamo del FF
</t>
        </r>
      </text>
    </comment>
    <comment ref="D14" authorId="0" shapeId="0" xr:uid="{00000000-0006-0000-1C00-000002000000}">
      <text>
        <r>
          <rPr>
            <sz val="10"/>
            <color rgb="FF000000"/>
            <rFont val="Arial"/>
            <family val="2"/>
          </rPr>
          <t>KeX1 + KdX2* (1-t)</t>
        </r>
      </text>
    </comment>
    <comment ref="D16" authorId="0" shapeId="0" xr:uid="{00000000-0006-0000-1C00-000003000000}">
      <text>
        <r>
          <rPr>
            <sz val="10"/>
            <color rgb="FF000000"/>
            <rFont val="Arial"/>
            <family val="2"/>
          </rPr>
          <t>Krf + B (Km - Krf)</t>
        </r>
      </text>
    </comment>
    <comment ref="D17" authorId="0" shapeId="0" xr:uid="{00000000-0006-0000-1C00-000004000000}">
      <text>
        <r>
          <rPr>
            <sz val="10"/>
            <color rgb="FF000000"/>
            <rFont val="Arial"/>
            <family val="2"/>
          </rPr>
          <t>Tasa de los bonos de tesoro de usa
'Tasa libre de riesgo'</t>
        </r>
      </text>
    </comment>
    <comment ref="D18" authorId="0" shapeId="0" xr:uid="{00000000-0006-0000-1C00-000005000000}">
      <text>
        <r>
          <rPr>
            <sz val="10"/>
            <color rgb="FF000000"/>
            <rFont val="Arial"/>
            <family val="2"/>
          </rPr>
          <t>Riesgo que yo tengo.
Si la empresa esta perfectamente correlacionada con el mercado, el valor es 1</t>
        </r>
      </text>
    </comment>
    <comment ref="D19" authorId="0" shapeId="0" xr:uid="{00000000-0006-0000-1C00-000006000000}">
      <text>
        <r>
          <rPr>
            <sz val="10"/>
            <color rgb="FF000000"/>
            <rFont val="Arial"/>
            <family val="2"/>
          </rPr>
          <t xml:space="preserve">Rentabilidad del mercado (X mejores empresas del mercado)
'valor esperado del mercado'
Rendimiento
</t>
        </r>
      </text>
    </comment>
    <comment ref="D20" authorId="0" shapeId="0" xr:uid="{00000000-0006-0000-1C00-000007000000}">
      <text>
        <r>
          <rPr>
            <sz val="10"/>
            <color rgb="FF000000"/>
            <rFont val="Arial"/>
            <family val="2"/>
          </rPr>
          <t xml:space="preserve">impuesto a las ganancias / Impuesto utilidad
</t>
        </r>
      </text>
    </comment>
    <comment ref="D21" authorId="0" shapeId="0" xr:uid="{00000000-0006-0000-1C00-000008000000}">
      <text>
        <r>
          <rPr>
            <sz val="10"/>
            <color rgb="FF000000"/>
            <rFont val="Arial"/>
            <family val="2"/>
          </rPr>
          <t xml:space="preserve">Costo de la deuda
</t>
        </r>
      </text>
    </comment>
    <comment ref="D22" authorId="0" shapeId="0" xr:uid="{00000000-0006-0000-1C00-000009000000}">
      <text>
        <r>
          <rPr>
            <sz val="10"/>
            <color rgb="FF000000"/>
            <rFont val="Arial"/>
            <family val="2"/>
          </rPr>
          <t xml:space="preserve">% de capital propio con el que me financio
</t>
        </r>
      </text>
    </comment>
    <comment ref="D23" authorId="0" shapeId="0" xr:uid="{00000000-0006-0000-1C00-00000A000000}">
      <text>
        <r>
          <rPr>
            <sz val="10"/>
            <color rgb="FF000000"/>
            <rFont val="Arial"/>
            <family val="2"/>
          </rPr>
          <t xml:space="preserve">% de capitala ajeno con el que me financio
</t>
        </r>
      </text>
    </comment>
    <comment ref="E26" authorId="0" shapeId="0" xr:uid="{00000000-0006-0000-1C00-00000B000000}">
      <text>
        <r>
          <rPr>
            <sz val="10"/>
            <color rgb="FF000000"/>
            <rFont val="Arial"/>
            <family val="2"/>
          </rPr>
          <t xml:space="preserve">Acciones
</t>
        </r>
      </text>
    </comment>
    <comment ref="F26" authorId="0" shapeId="0" xr:uid="{00000000-0006-0000-1C00-00000C000000}">
      <text>
        <r>
          <rPr>
            <sz val="10"/>
            <color rgb="FF000000"/>
            <rFont val="Arial"/>
            <family val="2"/>
          </rPr>
          <t xml:space="preserve">Costo de la accion
</t>
        </r>
      </text>
    </comment>
    <comment ref="B62" authorId="0" shapeId="0" xr:uid="{00000000-0006-0000-1C00-00000D000000}">
      <text>
        <r>
          <rPr>
            <sz val="10"/>
            <color rgb="FF000000"/>
            <rFont val="Arial"/>
            <family val="2"/>
          </rPr>
          <t xml:space="preserve">Sale del Prestamo
</t>
        </r>
      </text>
    </comment>
  </commentList>
</comments>
</file>

<file path=xl/sharedStrings.xml><?xml version="1.0" encoding="utf-8"?>
<sst xmlns="http://schemas.openxmlformats.org/spreadsheetml/2006/main" count="7628" uniqueCount="1544">
  <si>
    <t>TNA</t>
  </si>
  <si>
    <t>Nº de Periodos Totales dentro del año</t>
  </si>
  <si>
    <t>Nº de total de periodos</t>
  </si>
  <si>
    <t>TEA</t>
  </si>
  <si>
    <t>Co</t>
  </si>
  <si>
    <t>Cn</t>
  </si>
  <si>
    <t>A</t>
  </si>
  <si>
    <t>B</t>
  </si>
  <si>
    <t>C</t>
  </si>
  <si>
    <t>PPT</t>
  </si>
  <si>
    <t>Respuesta :</t>
  </si>
  <si>
    <t>Es preferible 24 por ende es Falsa</t>
  </si>
  <si>
    <t>En la guia da 8</t>
  </si>
  <si>
    <t>Ojo son 3 años</t>
  </si>
  <si>
    <t>Nº de Periodos Totales en el año</t>
  </si>
  <si>
    <t>Comente si la siguiente afirmacion es verdadera o falsa</t>
  </si>
  <si>
    <t>"El flujo Co es siempre negativo"</t>
  </si>
  <si>
    <t xml:space="preserve">Falso </t>
  </si>
  <si>
    <t>Co pude valer 0 o mayor a cero si considera un prestamo</t>
  </si>
  <si>
    <t>Seria la plata que medio el banco menos la que le debo</t>
  </si>
  <si>
    <t>Co es capital inicial</t>
  </si>
  <si>
    <t>Que propiedades debe cumplir la funcion f(VAM,i) para que la TIR sea unica?</t>
  </si>
  <si>
    <t>La funcion tiene que ser monotamente decreciente</t>
  </si>
  <si>
    <t>Esto hace referencia a uno de los problemas del TIR que es que en algunos casos hay mas de un TIR que hace 0 el VAM Esto se da por los cambio de signos del flujo</t>
  </si>
  <si>
    <t>El TIR tiene otro problema que no se puede eludir la estructura temporal de los tipos de interes</t>
  </si>
  <si>
    <t>van</t>
  </si>
  <si>
    <t>TIR</t>
  </si>
  <si>
    <t>Proyecto</t>
  </si>
  <si>
    <t xml:space="preserve">Proyecto </t>
  </si>
  <si>
    <t>VAN</t>
  </si>
  <si>
    <t xml:space="preserve"> Por no tener un flujo negativo</t>
  </si>
  <si>
    <t xml:space="preserve">Ejemplo para mostrar </t>
  </si>
  <si>
    <t xml:space="preserve">Solo pongo ejemplo </t>
  </si>
  <si>
    <t xml:space="preserve">Tiene cambio de signo y podria no ser monotona decreciente </t>
  </si>
  <si>
    <t>Usaria  VAN</t>
  </si>
  <si>
    <t>Cf</t>
  </si>
  <si>
    <t>Americano</t>
  </si>
  <si>
    <t>Ruso</t>
  </si>
  <si>
    <t>amortizacion</t>
  </si>
  <si>
    <t>Valor Libro (Valor del producto segun amortizaciones faltantes)</t>
  </si>
  <si>
    <t>Venta</t>
  </si>
  <si>
    <t>Utilidad Antes del impuesto</t>
  </si>
  <si>
    <t>impuesto a las ganancias 50%</t>
  </si>
  <si>
    <t xml:space="preserve">Ajuste </t>
  </si>
  <si>
    <t>Compra</t>
  </si>
  <si>
    <t>Fondo de fonde netos</t>
  </si>
  <si>
    <t>Empresa A</t>
  </si>
  <si>
    <t>VAM 8%</t>
  </si>
  <si>
    <t>Ingresos</t>
  </si>
  <si>
    <t>venta</t>
  </si>
  <si>
    <t>Inversion</t>
  </si>
  <si>
    <t>Empresa B</t>
  </si>
  <si>
    <t>Ingrsos</t>
  </si>
  <si>
    <t>Amortizacion</t>
  </si>
  <si>
    <t>Valor Libro</t>
  </si>
  <si>
    <t>Utilidad Antes de impuesto</t>
  </si>
  <si>
    <t>Inpuesto Tasa 35%</t>
  </si>
  <si>
    <t xml:space="preserve">Utilidad Despues impuesto </t>
  </si>
  <si>
    <t>Ajuste</t>
  </si>
  <si>
    <t>inversion</t>
  </si>
  <si>
    <t>Flujo</t>
  </si>
  <si>
    <t>Si el VAN es 0 que quiere decir</t>
  </si>
  <si>
    <t>Lo que quiere decir que ni gano ni pierdo palanata (es indeferente invertir o no desde el punto de vista economico)</t>
  </si>
  <si>
    <t>Aquellos proyectos que tienen un flujo efectivo  mayor al final de su vidas tienen  un VAN</t>
  </si>
  <si>
    <t>mas sensible a los cambios en la tasa de interes que el VAN de los proyectos cuyo flujo de efectivo</t>
  </si>
  <si>
    <t>es mayor al principio de sus vidas</t>
  </si>
  <si>
    <t xml:space="preserve">Verdadero El impacto del descuento del valor del dinero en el tiempo es mayor sobre los flujos futuros </t>
  </si>
  <si>
    <t xml:space="preserve">que sobre los del inicio. Esto es porque tiene la tasa de descuento como exponente el periodo </t>
  </si>
  <si>
    <t xml:space="preserve">Copiado del mismo resuelto </t>
  </si>
  <si>
    <t>demanda</t>
  </si>
  <si>
    <t>Valor libro</t>
  </si>
  <si>
    <t>venta maquina</t>
  </si>
  <si>
    <t>costo fijo</t>
  </si>
  <si>
    <t>Costo Variable</t>
  </si>
  <si>
    <t>Antes de impuesto</t>
  </si>
  <si>
    <t>impuesto</t>
  </si>
  <si>
    <t>utilidad despues de impuesto</t>
  </si>
  <si>
    <t>ajuste</t>
  </si>
  <si>
    <t>flujo</t>
  </si>
  <si>
    <t xml:space="preserve">amortizacion </t>
  </si>
  <si>
    <t>venta inversion</t>
  </si>
  <si>
    <t>antes de impuesto</t>
  </si>
  <si>
    <t>VA</t>
  </si>
  <si>
    <t>Costo variable</t>
  </si>
  <si>
    <t>Costo fijo</t>
  </si>
  <si>
    <t>amortizaciones</t>
  </si>
  <si>
    <t>valor libro</t>
  </si>
  <si>
    <t>valor recidual</t>
  </si>
  <si>
    <t>utilidad antes de inpuestos</t>
  </si>
  <si>
    <t>inpuestos</t>
  </si>
  <si>
    <t>utilidad despues de inpuesto</t>
  </si>
  <si>
    <t>VAN 12 %</t>
  </si>
  <si>
    <t>Se elejie la alternativa A o 1 ya que tiene un VAN mayor</t>
  </si>
  <si>
    <t>Tasa Valor sin riesgo</t>
  </si>
  <si>
    <t>Rm</t>
  </si>
  <si>
    <t>Riesgo Pais</t>
  </si>
  <si>
    <t>Indice Beta</t>
  </si>
  <si>
    <t>Riego</t>
  </si>
  <si>
    <t>Rf</t>
  </si>
  <si>
    <t>CAPM</t>
  </si>
  <si>
    <t xml:space="preserve">Tasa de corte </t>
  </si>
  <si>
    <t>Rj(emergente) = Rf + βj (Rm – Rf) + Riesgo País</t>
  </si>
  <si>
    <t>Interes</t>
  </si>
  <si>
    <t>Frances</t>
  </si>
  <si>
    <t>Periodos</t>
  </si>
  <si>
    <t>Periodo</t>
  </si>
  <si>
    <t>Cuota(Fija)</t>
  </si>
  <si>
    <t>Capital</t>
  </si>
  <si>
    <t>Aleman</t>
  </si>
  <si>
    <t>Cuota</t>
  </si>
  <si>
    <t>Amortizacion(Fija)</t>
  </si>
  <si>
    <t>Interes(Fijo)</t>
  </si>
  <si>
    <t>C0</t>
  </si>
  <si>
    <t>C1</t>
  </si>
  <si>
    <t>C2</t>
  </si>
  <si>
    <t>C3</t>
  </si>
  <si>
    <t>C4</t>
  </si>
  <si>
    <t>C5</t>
  </si>
  <si>
    <t>Ingresos afecto impuestos</t>
  </si>
  <si>
    <t>Ahorro por  inversion</t>
  </si>
  <si>
    <t>Ingreso por desinversión</t>
  </si>
  <si>
    <t>Egresos afecto impuestos</t>
  </si>
  <si>
    <t>Interes por prestamos</t>
  </si>
  <si>
    <t>G. Op. Fijos</t>
  </si>
  <si>
    <t>G.Op. Variables</t>
  </si>
  <si>
    <t>Gasto no desembolsables</t>
  </si>
  <si>
    <t>Deprecracion inversion inicial 1</t>
  </si>
  <si>
    <t>Depreciacion inversión inicial 2</t>
  </si>
  <si>
    <t>desinvertir en el año 4</t>
  </si>
  <si>
    <t>Depreciación reinversión</t>
  </si>
  <si>
    <t>Utilidad Neta antes de impuestos</t>
  </si>
  <si>
    <t>Impuesto a las ganancias (0.1)</t>
  </si>
  <si>
    <t>Utilidad Neta despues de impuestos</t>
  </si>
  <si>
    <t>Ajustes gastos no desembolsables</t>
  </si>
  <si>
    <t>Cuota Capital</t>
  </si>
  <si>
    <t>Prestamo</t>
  </si>
  <si>
    <t>Inversion 1</t>
  </si>
  <si>
    <t>Inversión 2</t>
  </si>
  <si>
    <t>VAM</t>
  </si>
  <si>
    <t>Flujo de caja</t>
  </si>
  <si>
    <t>WACC</t>
  </si>
  <si>
    <t>Datos</t>
  </si>
  <si>
    <t>Valor</t>
  </si>
  <si>
    <t>Ke</t>
  </si>
  <si>
    <t>Krf</t>
  </si>
  <si>
    <t>tasa libre de riesgo</t>
  </si>
  <si>
    <t>Km</t>
  </si>
  <si>
    <t>rendimiento</t>
  </si>
  <si>
    <t>t</t>
  </si>
  <si>
    <t>Impuesto</t>
  </si>
  <si>
    <t>Kd</t>
  </si>
  <si>
    <t>Costo de la deuda</t>
  </si>
  <si>
    <t>X1</t>
  </si>
  <si>
    <t>% de capital propio con el que me financio</t>
  </si>
  <si>
    <t>X2</t>
  </si>
  <si>
    <t>% de capitala ajeno con el que me financio</t>
  </si>
  <si>
    <t>Depreciacion inversión inicial</t>
  </si>
  <si>
    <t>Impuesto a las ganancias</t>
  </si>
  <si>
    <t>Inversión</t>
  </si>
  <si>
    <t xml:space="preserve">Impuesto a las ganancias </t>
  </si>
  <si>
    <t>Inpuesto a las Ganancias</t>
  </si>
  <si>
    <t>Corto plazo</t>
  </si>
  <si>
    <t>Largo plazo</t>
  </si>
  <si>
    <t>% largo plazo</t>
  </si>
  <si>
    <t>% corto plazo</t>
  </si>
  <si>
    <t>Resultado final</t>
  </si>
  <si>
    <t>Estructura de costos y equity</t>
  </si>
  <si>
    <t>Resultado acumulado</t>
  </si>
  <si>
    <t>Resultado del ejercicio</t>
  </si>
  <si>
    <t>DEuda + Equty</t>
  </si>
  <si>
    <t>Capital propio</t>
  </si>
  <si>
    <t>Capital prestado</t>
  </si>
  <si>
    <t>Pasivo</t>
  </si>
  <si>
    <t>Proveedores</t>
  </si>
  <si>
    <t>Ds. Bancarias</t>
  </si>
  <si>
    <t>Ds. largo plazo</t>
  </si>
  <si>
    <t>Total</t>
  </si>
  <si>
    <t>Demanda</t>
  </si>
  <si>
    <t>Valor Recidual</t>
  </si>
  <si>
    <t>Costo unitario</t>
  </si>
  <si>
    <t>Consumo electrico</t>
  </si>
  <si>
    <t>MOD</t>
  </si>
  <si>
    <t>Costo de insumo</t>
  </si>
  <si>
    <t>VAN por elejir la alternativa 2</t>
  </si>
  <si>
    <t>Ventas</t>
  </si>
  <si>
    <t>G. Admin</t>
  </si>
  <si>
    <t>G.Op. Comiciones</t>
  </si>
  <si>
    <t>Amortizacion Capital</t>
  </si>
  <si>
    <t>Material directo</t>
  </si>
  <si>
    <t>Gasto de Fabricacion</t>
  </si>
  <si>
    <t>Pregunta 2</t>
  </si>
  <si>
    <t>Pregunta 1</t>
  </si>
  <si>
    <t>Pe1</t>
  </si>
  <si>
    <t>Pe2</t>
  </si>
  <si>
    <t>Pe3</t>
  </si>
  <si>
    <t>PeP</t>
  </si>
  <si>
    <t>G. Op. Variable</t>
  </si>
  <si>
    <t>G. Fijos</t>
  </si>
  <si>
    <t>Depreciacion Terreno</t>
  </si>
  <si>
    <t>Depreciacion Tecnologia</t>
  </si>
  <si>
    <t>Depreciacion Obra fisica</t>
  </si>
  <si>
    <t>Valor libro terreno</t>
  </si>
  <si>
    <t xml:space="preserve">Capital de trabajo </t>
  </si>
  <si>
    <t>Ajuste Capital de trabajo</t>
  </si>
  <si>
    <t>Terreno</t>
  </si>
  <si>
    <t>Tecnologia</t>
  </si>
  <si>
    <t>Obra Fisica</t>
  </si>
  <si>
    <t>Agua</t>
  </si>
  <si>
    <t>Azucar</t>
  </si>
  <si>
    <t>PRegunta 3</t>
  </si>
  <si>
    <t>Saborizante</t>
  </si>
  <si>
    <t>Costo unitario Variable</t>
  </si>
  <si>
    <t>Pines de acero</t>
  </si>
  <si>
    <t>Pintura</t>
  </si>
  <si>
    <t>Dispositivos electronicos</t>
  </si>
  <si>
    <t>CUF</t>
  </si>
  <si>
    <t xml:space="preserve">Costo fijo </t>
  </si>
  <si>
    <t>Ingresos - Gastos Primer Mes</t>
  </si>
  <si>
    <t>Programadores</t>
  </si>
  <si>
    <t>Tiempo</t>
  </si>
  <si>
    <t>Precio</t>
  </si>
  <si>
    <t>CT</t>
  </si>
  <si>
    <t>Ingreso Primer Mes</t>
  </si>
  <si>
    <t>Licencia</t>
  </si>
  <si>
    <t>Costo Pines Primer Mes</t>
  </si>
  <si>
    <t>Calculo del KD</t>
  </si>
  <si>
    <t>comisiones</t>
  </si>
  <si>
    <t>PN</t>
  </si>
  <si>
    <t>Sueldo Gerente</t>
  </si>
  <si>
    <t>Deuda</t>
  </si>
  <si>
    <t>Sueldo Desarrolladores</t>
  </si>
  <si>
    <t>Costo Deuda</t>
  </si>
  <si>
    <t>CT Primer Mes</t>
  </si>
  <si>
    <t>Proporcion</t>
  </si>
  <si>
    <t>Incremento</t>
  </si>
  <si>
    <t>Descuento</t>
  </si>
  <si>
    <t>Capital de Trabajo</t>
  </si>
  <si>
    <t>Cambio %</t>
  </si>
  <si>
    <t>Cambio en Operacion</t>
  </si>
  <si>
    <t>Sueldos  Gerente</t>
  </si>
  <si>
    <t>Sueldos Desarrolladores</t>
  </si>
  <si>
    <t>Comisiones</t>
  </si>
  <si>
    <t>Depreciacion Desarrollo</t>
  </si>
  <si>
    <t>Despreciacion Maquinaria</t>
  </si>
  <si>
    <t>Valor Libro Maquinaria</t>
  </si>
  <si>
    <t>Ajustes Depreciaciones</t>
  </si>
  <si>
    <t>Inversion desarrollo</t>
  </si>
  <si>
    <t>Inversion Maquinaria</t>
  </si>
  <si>
    <t>Recupero Capital de trabajo</t>
  </si>
  <si>
    <t>Alojamiento</t>
  </si>
  <si>
    <t>Vagones</t>
  </si>
  <si>
    <t>Viaticos</t>
  </si>
  <si>
    <t>nutricion</t>
  </si>
  <si>
    <t>combustible</t>
  </si>
  <si>
    <t>lubricante</t>
  </si>
  <si>
    <t>mantenimiento</t>
  </si>
  <si>
    <t>Repuestos</t>
  </si>
  <si>
    <t>egreso</t>
  </si>
  <si>
    <t>Ingreso</t>
  </si>
  <si>
    <t>Despreciacion inversion</t>
  </si>
  <si>
    <t>Calculado por chris</t>
  </si>
  <si>
    <t>rf = tasa libre de riesgo</t>
  </si>
  <si>
    <t>rm= rendimiento de mercado.</t>
  </si>
  <si>
    <t>CAPM= Ke "costo de capital" = Rf + (B x (Rm - Rf) + riesgo pais. )</t>
  </si>
  <si>
    <t>Costo de capital.</t>
  </si>
  <si>
    <t>Ke=</t>
  </si>
  <si>
    <t>WACC=Kd x(1-tx) x D/(D+E) +Ke (E/D+E)</t>
  </si>
  <si>
    <t>WACC=</t>
  </si>
  <si>
    <t>E/D+E es porcentaje de equity  X1</t>
  </si>
  <si>
    <t>D/E+D es porcentaje de deuda  X2</t>
  </si>
  <si>
    <t>ok</t>
  </si>
  <si>
    <t>4 desarrolladores 10 meses hacen el sw.</t>
  </si>
  <si>
    <t>Sin iva como dijo juli con 5% de transporte.</t>
  </si>
  <si>
    <t>1,500,000 sale dee la ecuacion que nos dan, es gasto fijo. Se le resta en el 2do año los descuentos del 10% por cantidad de producto.</t>
  </si>
  <si>
    <t xml:space="preserve">ok </t>
  </si>
  <si>
    <t>demanda x gasto variable 30.000.</t>
  </si>
  <si>
    <t>1,55 cargas sociales 13 meses porque son 12 meses y 2 medios aguinaldos = 13 meses.</t>
  </si>
  <si>
    <t>1,55 cargas sociales 13 meses porque son 12 meses y 2 medios aguinaldos = 13 meses. Y 2 desarrolladores pasan a mantener el sw.</t>
  </si>
  <si>
    <t>c(t)=30,000 Q + 1,500,000</t>
  </si>
  <si>
    <t>P1= 30,000 x1 + 1,500,000/300 = 35,000 x 1,5 porque es un 50% mas del costo unitario.</t>
  </si>
  <si>
    <t>luego para p2 p3 p4 aplicar la formula que hizo artur. Eso es asi y ya. Sin logica.</t>
  </si>
  <si>
    <t>"CAPITABLE 
MENSUAL A 3 AÑOS"</t>
  </si>
  <si>
    <t>Estas depreciaciones nos reiamos con artur porque las sacó de la galera, son un invento de él . Pero esta ok porque hay que agregarlas.
Depreciacion de desarrollo es por el sw que se hizo, la maquinaria es porque lo dice el enunciado.</t>
  </si>
  <si>
    <t>Ventas es demanda por pv.</t>
  </si>
  <si>
    <t>INETERES PRESTAMOS</t>
  </si>
  <si>
    <t>CUOTA CAPITAL</t>
  </si>
  <si>
    <t>Tiene que ver con el prestamo.</t>
  </si>
  <si>
    <t>las comisiones se restan de la venta por enunciado . ""</t>
  </si>
  <si>
    <t>periodos</t>
  </si>
  <si>
    <t>anual</t>
  </si>
  <si>
    <t>mensual</t>
  </si>
  <si>
    <t>en cada periodo se paga el total de los intereses generados por el credito y una parte del capital.</t>
  </si>
  <si>
    <t>C=Px i/(1-(1+i)^-n</t>
  </si>
  <si>
    <t>cuota</t>
  </si>
  <si>
    <t>interes</t>
  </si>
  <si>
    <t xml:space="preserve">i=c x i </t>
  </si>
  <si>
    <t>a=c-i</t>
  </si>
  <si>
    <t>Cuota fija.</t>
  </si>
  <si>
    <t>periodo</t>
  </si>
  <si>
    <t>amort</t>
  </si>
  <si>
    <t>CUOTA=</t>
  </si>
  <si>
    <t>C=Px i/(1-(1+i)^-n)</t>
  </si>
  <si>
    <t>SE CALCULA CON LA TEA, TEA ES i</t>
  </si>
  <si>
    <t>n es 3 estatico porque es numero de periodos</t>
  </si>
  <si>
    <t>CAPITAL</t>
  </si>
  <si>
    <t>"Los pines se abonan en el momento mientras que el resto de los componentes se abonan a 60 dias " onda no tengo en cuenta nada que no sea los pines para el CT primer mes.</t>
  </si>
  <si>
    <t>"la empresa cotiza en bolsa con un total de 10k acciones a 45,20 " es patrimonio neto o "equity"</t>
  </si>
  <si>
    <t>costo de deuda</t>
  </si>
  <si>
    <t>"la rentabilidad esperada del mercado es de 9%"</t>
  </si>
  <si>
    <t>"el beta de la empresa es de 1,2"</t>
  </si>
  <si>
    <t>"el bono del tesoro de EEUU es 3%"</t>
  </si>
  <si>
    <t>"el impuesto a la utilidad es de "</t>
  </si>
  <si>
    <t>la cobranza de las ventas se realiza 
CONTADO 20% ENTRA EL PRIMER MES</t>
  </si>
  <si>
    <t>tasa de corte</t>
  </si>
  <si>
    <t>prestamo</t>
  </si>
  <si>
    <t xml:space="preserve">inversion </t>
  </si>
  <si>
    <t>ESTE EJERCICIO ESTA AL FINAL PORQUE EN MI FINAL USE ESTE EXCEL.</t>
  </si>
  <si>
    <t xml:space="preserve">TNA </t>
  </si>
  <si>
    <t>3 años</t>
  </si>
  <si>
    <t xml:space="preserve">mensual </t>
  </si>
  <si>
    <t>CALCULO TEA:</t>
  </si>
  <si>
    <t>uno mas (TNA sobre 12) ,todo eso elevado a las 12 (porq es mensual 360/30)</t>
  </si>
  <si>
    <t>cuota fija</t>
  </si>
  <si>
    <t>el primer interes es el monto del prestamo multiplicado por la TEA.</t>
  </si>
  <si>
    <t>el segundo interes es 318883 x TEA</t>
  </si>
  <si>
    <t>las amortizaciones son las restas entre las cuota fija e interes.</t>
  </si>
  <si>
    <t>30. Se planea realizar una inversión inicial de $100.000 para la renovación del “data center” (50% con capital propio y el resto con un préstamo a 2 años, método francés con tasa nominal anual del 10% capitalizable a 30 días</t>
  </si>
  <si>
    <t>20/06/2023</t>
  </si>
  <si>
    <t>TNA 10%</t>
  </si>
  <si>
    <t>12 meses.</t>
  </si>
  <si>
    <t>prestamo 50k.</t>
  </si>
  <si>
    <t>TEA:</t>
  </si>
  <si>
    <t>Ingreso por desinversión 1</t>
  </si>
  <si>
    <t>Valor libro 1</t>
  </si>
  <si>
    <t>Valor libro 2</t>
  </si>
  <si>
    <t>esta ok chequeadisimo.</t>
  </si>
  <si>
    <t>precio accion</t>
  </si>
  <si>
    <t>acciones</t>
  </si>
  <si>
    <t>sin deuda.</t>
  </si>
  <si>
    <t xml:space="preserve">tasa libre riesgo </t>
  </si>
  <si>
    <t>rend mercado</t>
  </si>
  <si>
    <t>accion correlaciona
perf con el mercado</t>
  </si>
  <si>
    <t>31 guia nueva seguir</t>
  </si>
  <si>
    <t>PRESTAMO MAL, TNA=TEA=8% PERO EL RESTO ESTA OK. COMO EL DE CAMI VERSION BAMBA</t>
  </si>
  <si>
    <t>ACA PRESTAMO ESTA MAL PERO ARRIBA LO PUSE BIEN COMO LO TENGO YO BIEN MAS ADELANTE.</t>
  </si>
  <si>
    <t>TODO GASTO FIJO ES 3K Y 550K</t>
  </si>
  <si>
    <t>550 K DE GASTO FIJO SALE DE 250K PORQUE SE REDUCE A LA MITAD + 100K+200K</t>
  </si>
  <si>
    <t>LA TASA DEL 5% EFECTIVA A 90 DIAS SIRVE PARA SACAR LA CELDA I21</t>
  </si>
  <si>
    <t>TASA DE CORTE</t>
  </si>
  <si>
    <t>Impuesto a las ganancias (0.35)</t>
  </si>
  <si>
    <t>NOTA</t>
  </si>
  <si>
    <t>OJO YO LA TEA LA TOME CON TNA 8% Y CAPITALIZACION ANUAL LO CUAL NO ES CORRECTO
EN LE FINAL HAY QUE ESPECIFICAR EL TIPO DE CAPITALIZACION (90 DIAS O 60 DIAS) Y ESTARA CORRECTO HACIENDO ESTA ACLARACION
ACA EN EL ENUNCIADO DICE 3 AÑOS AL 8% ANUAL Y ENTRE PARENTESIS DICE QUE ANUAL ES TNA .. NO ES Q LA CAPITALIZACION SEA ANUAL.
ASI QUE NO SERIA CORRECTO TOMAR LA CAPITALIZACION ANUAL.</t>
  </si>
  <si>
    <t>TOME CAPITALIZACION MENSUAL NOSE PORQUE . TOMAR A 60 O 90 DIAS ACLARANDO.</t>
  </si>
  <si>
    <t>Impuesto a las ganancias (0.10)</t>
  </si>
  <si>
    <t>ACA NO DA TASA DE CORTE SALE POR WACC.</t>
  </si>
  <si>
    <t xml:space="preserve">COMPARAR </t>
  </si>
  <si>
    <t>ingresos por ventas</t>
  </si>
  <si>
    <t xml:space="preserve">usar este </t>
  </si>
  <si>
    <t>template</t>
  </si>
  <si>
    <t>km 0 ?? Beta es 0 ??</t>
  </si>
  <si>
    <t>Proyecto 2</t>
  </si>
  <si>
    <t>Proyecto 1</t>
  </si>
  <si>
    <t>consumo</t>
  </si>
  <si>
    <t>insumos</t>
  </si>
  <si>
    <t>costo x u</t>
  </si>
  <si>
    <t>Unidades producidas</t>
  </si>
  <si>
    <t>costo por unidad x unidades x 0,9 en el año 4 por economia de escala.</t>
  </si>
  <si>
    <t>Impuesto a las ganancias (0.15)</t>
  </si>
  <si>
    <t>VAN POR 
ELEGIR LA 
ALTERNATIVA 2</t>
  </si>
  <si>
    <t>"si no cotiza en bolsa toda la parte de acciones es 0"</t>
  </si>
  <si>
    <t>"no cuenta con deuda" o sea que kd es k deuda es 0.</t>
  </si>
  <si>
    <t>4,5 y 100k acciones son 450k que sale la empresa.</t>
  </si>
  <si>
    <t>tasa libre de riesgo es del 4% krf.</t>
  </si>
  <si>
    <t>accion correlaciona perfectametne con el mercado, beta 1</t>
  </si>
  <si>
    <t>rendimeinto mercado 6%</t>
  </si>
  <si>
    <t>WACC es keX1 + Kd X2 (1-t)</t>
  </si>
  <si>
    <t>Kd es 0 se anula el segundo termino</t>
  </si>
  <si>
    <t>ke es</t>
  </si>
  <si>
    <t>krf + B(km - krf)</t>
  </si>
  <si>
    <t>4 + 1 (6-2) = 6</t>
  </si>
  <si>
    <t xml:space="preserve">wacc = 6 x 100% </t>
  </si>
  <si>
    <t>wacc=6%</t>
  </si>
  <si>
    <t>G. Admin fijos</t>
  </si>
  <si>
    <t>gasto fabrica</t>
  </si>
  <si>
    <t>material directo</t>
  </si>
  <si>
    <t>G op variable</t>
  </si>
  <si>
    <t>ALEMAN</t>
  </si>
  <si>
    <t>NO ENTIENDO PORQUE PONE LOS 80.000 
DE LA INVERSION INICIAL DEBERI SER SOLO 15000 
EN VALOR DEL AÑO 5 , ES DECIR MAS O MENOS 7500$</t>
  </si>
  <si>
    <t>NO ENTIENDO PORQUE PONE LOS 90.000 DE
 LA INVERSION INICIAL DEBERI SER 
SOLO 5000 EN VALOR DEL AÑO 5 , 
ES DECIR MAS O MENOS 2500$</t>
  </si>
  <si>
    <t>SAQUE EL WACC COMO CAMI . 
KD LO TOMA COMO LA TEA NOSE SI ES CORRECTO ESO.</t>
  </si>
  <si>
    <t>agua</t>
  </si>
  <si>
    <t>azucar</t>
  </si>
  <si>
    <t>saborizante</t>
  </si>
  <si>
    <t>mod</t>
  </si>
  <si>
    <t>costo un</t>
  </si>
  <si>
    <t>terreno</t>
  </si>
  <si>
    <t>tecnologias</t>
  </si>
  <si>
    <t>obras fisicas</t>
  </si>
  <si>
    <t>valor salvamiento</t>
  </si>
  <si>
    <t>vida util</t>
  </si>
  <si>
    <t>valor adq</t>
  </si>
  <si>
    <t>activo</t>
  </si>
  <si>
    <t>-</t>
  </si>
  <si>
    <t>gatos indirectos 3000 x mes.</t>
  </si>
  <si>
    <t>inversion terreno</t>
  </si>
  <si>
    <t>inversion tecnologias</t>
  </si>
  <si>
    <t>inversion obras fisicas</t>
  </si>
  <si>
    <t>IMPORTANTEEEEEEE:
ESTOY CONSIDERANDO 
15000 DE VALOR DE SALVAMIENTO</t>
  </si>
  <si>
    <t>Capital de trabajo</t>
  </si>
  <si>
    <t>gasto fijo.</t>
  </si>
  <si>
    <t>capital de trabajo 2 meses de costo variable.
2 meses de la division por 12 del gasto op var del primer año.</t>
  </si>
  <si>
    <t>COSTO CAPITAL TRABAJO UNITARIO</t>
  </si>
  <si>
    <t>Recupero capital de trabajo</t>
  </si>
  <si>
    <t>Proveedores corto plazo</t>
  </si>
  <si>
    <t>230000 / 552500</t>
  </si>
  <si>
    <t>3225000/552500</t>
  </si>
  <si>
    <t>Impuesto a las ganancias (0.30)</t>
  </si>
  <si>
    <t xml:space="preserve">CT </t>
  </si>
  <si>
    <t>RECUPERAR 80% AL FINAL</t>
  </si>
  <si>
    <t>DEPRECIACION DE EQUIPOS 20%</t>
  </si>
  <si>
    <t>GASTO DESINSTALACION</t>
  </si>
  <si>
    <t>TNE</t>
  </si>
  <si>
    <t>DE ESTE EJERCICIO TENGO DUDA DE
 COMO SE CALCULA EL CAPITAL DE TRABAJO.</t>
  </si>
  <si>
    <t>X*1.21=605000</t>
  </si>
  <si>
    <t>prestamo:</t>
  </si>
  <si>
    <t>capitaliz</t>
  </si>
  <si>
    <t xml:space="preserve">TEA </t>
  </si>
  <si>
    <t>Año</t>
  </si>
  <si>
    <t>Saldo</t>
  </si>
  <si>
    <t>Saldo Restante</t>
  </si>
  <si>
    <t>SUELDOS MENSUALES 180000 NETO MENSUAL</t>
  </si>
  <si>
    <t xml:space="preserve">PV </t>
  </si>
  <si>
    <t>CV</t>
  </si>
  <si>
    <t>137000 GASTSO ADMN NETO CON 40% DE CARGAS SOCIALES</t>
  </si>
  <si>
    <t>TASA EQUITY 20% CAPIT ANUALMENTE.</t>
  </si>
  <si>
    <t>2.33 VECES EL EQUITY SOBRE LA DEUDA.</t>
  </si>
  <si>
    <t>2 CREDITOS TOMADOS 
3M 9% ANUAL CAPITALIZABLE ANUAL
3.4M 0% ANUAL CAPITALIZABLE MENSUAL</t>
  </si>
  <si>
    <t>60% DE COBRANZAS SE HACE A 30 DIAS Y EL RESTO A 60 DIAS.</t>
  </si>
  <si>
    <t>LOS PAGOS DE LOS COSTOS COMO LOS GASTOS SON AL CONTADO</t>
  </si>
  <si>
    <t>DESCUENTO COMERCIAL SOBRE LA VENTA BRUTA DE UN 5%</t>
  </si>
  <si>
    <t>IIBB 1.5%</t>
  </si>
  <si>
    <t>DESC COM</t>
  </si>
  <si>
    <t>IIBB</t>
  </si>
  <si>
    <t>DEPRECIACION ES SOBRE EL TOT DE LA INV</t>
  </si>
  <si>
    <t>CAPACIDAD 500 MIL ANUALES</t>
  </si>
  <si>
    <t>inversion SEGUNDA LINEA</t>
  </si>
  <si>
    <t>LA SEGUNDA PERMITE HASTA 600 MIL ASI Q POR ESO EN EL 2DO AÑO HAGO LA INV PARA USAR LA MAQINA EN EL 3ER AÑO</t>
  </si>
  <si>
    <t>Ingreso por desinversión 2</t>
  </si>
  <si>
    <t>VENTA ULTIMO AÑO</t>
  </si>
  <si>
    <t>PORQ?</t>
  </si>
  <si>
    <t>SEGUIR CON WACC Y CAPITAL DE TRABAJO.</t>
  </si>
  <si>
    <t>Año 1</t>
  </si>
  <si>
    <t>Mes 1</t>
  </si>
  <si>
    <t>Mes 2</t>
  </si>
  <si>
    <t>Mes 3</t>
  </si>
  <si>
    <t>Mes 4</t>
  </si>
  <si>
    <t>Mes 5</t>
  </si>
  <si>
    <t>Mes 6</t>
  </si>
  <si>
    <t>Mes 7</t>
  </si>
  <si>
    <t>Mes 8</t>
  </si>
  <si>
    <t>Mes 9</t>
  </si>
  <si>
    <t>Mes 10</t>
  </si>
  <si>
    <t>Mes 11</t>
  </si>
  <si>
    <t>Mes 12</t>
  </si>
  <si>
    <t>60% 30 dias</t>
  </si>
  <si>
    <t>40% 60 dias</t>
  </si>
  <si>
    <t>Egresos</t>
  </si>
  <si>
    <t>pan</t>
  </si>
  <si>
    <t>Contado</t>
  </si>
  <si>
    <t>Gs</t>
  </si>
  <si>
    <t>Sueldos</t>
  </si>
  <si>
    <t>dto comercial</t>
  </si>
  <si>
    <t>Acumulado</t>
  </si>
  <si>
    <t>Déficit Acumulado Máximo</t>
  </si>
  <si>
    <t>Sueldos x annual</t>
  </si>
  <si>
    <t>IIBB x mes año 1</t>
  </si>
  <si>
    <t>dto comercial x mes año 1</t>
  </si>
  <si>
    <t>unidades vend x mes año 1</t>
  </si>
  <si>
    <t xml:space="preserve">sueldos </t>
  </si>
  <si>
    <t>sueldos div 13 , por aguinaldo</t>
  </si>
  <si>
    <t>lo menos q tengo , comienzo con eso mi ejercicio.</t>
  </si>
  <si>
    <t>costo capital trabajo x unidad</t>
  </si>
  <si>
    <t>notar que NO PUSO sueldo de 137.000 + 40% , puso solo el de 180.000 y 40% de ese. 
Yo para mi tambien iria el de 137.000</t>
  </si>
  <si>
    <t>Monto</t>
  </si>
  <si>
    <t>Tasa</t>
  </si>
  <si>
    <t>Deuda 1</t>
  </si>
  <si>
    <t>Deuda 2</t>
  </si>
  <si>
    <t>Deuda 3</t>
  </si>
  <si>
    <t>Ke:</t>
  </si>
  <si>
    <t>x1:</t>
  </si>
  <si>
    <t>% del Capital Invertido Propio</t>
  </si>
  <si>
    <t>x2:</t>
  </si>
  <si>
    <t>% del Capital Invertido Prestado</t>
  </si>
  <si>
    <t>Kd:</t>
  </si>
  <si>
    <t>coste de la deuda financiera/Tasa efectiva anual</t>
  </si>
  <si>
    <t>T:</t>
  </si>
  <si>
    <t>tasa impositiva/ganancias</t>
  </si>
  <si>
    <t>WACC:</t>
  </si>
  <si>
    <t>coste de fondos propios (dato)</t>
  </si>
  <si>
    <t>X2*2.33+X2=1</t>
  </si>
  <si>
    <t>X2= 0.30</t>
  </si>
  <si>
    <t>X1=0,70</t>
  </si>
  <si>
    <t>X1+X2=1</t>
  </si>
  <si>
    <t>DEUDA</t>
  </si>
  <si>
    <t>EQUITY</t>
  </si>
  <si>
    <t>NO HAY DATO</t>
  </si>
  <si>
    <t>inversion con iva</t>
  </si>
  <si>
    <t>inversion sin iva</t>
  </si>
  <si>
    <t>inversion sin iva con 5%</t>
  </si>
  <si>
    <t>COSTOS VARIABLES</t>
  </si>
  <si>
    <t>resina</t>
  </si>
  <si>
    <t>pigmento</t>
  </si>
  <si>
    <t>pvc</t>
  </si>
  <si>
    <t>barniz</t>
  </si>
  <si>
    <t>caja de cart</t>
  </si>
  <si>
    <t>impr</t>
  </si>
  <si>
    <t>costo</t>
  </si>
  <si>
    <t>desperdicio</t>
  </si>
  <si>
    <t>costo fijo 8M mensual</t>
  </si>
  <si>
    <t>x kg</t>
  </si>
  <si>
    <t>x kg 1.35</t>
  </si>
  <si>
    <t>x 350 ml</t>
  </si>
  <si>
    <t>x 5kg</t>
  </si>
  <si>
    <t>costo+desp</t>
  </si>
  <si>
    <t>Precio x Año</t>
  </si>
  <si>
    <t>Costo Fijo (30 Días)</t>
  </si>
  <si>
    <t>Mensual</t>
  </si>
  <si>
    <t>Anual</t>
  </si>
  <si>
    <t>CFU</t>
  </si>
  <si>
    <t>Costo total</t>
  </si>
  <si>
    <t>70% market share</t>
  </si>
  <si>
    <t>tomo asi sin decimales.</t>
  </si>
  <si>
    <t>Sueldos (Cargas sociales al 45%)</t>
  </si>
  <si>
    <t>Gerente Producto</t>
  </si>
  <si>
    <t>Analista Comercial</t>
  </si>
  <si>
    <t>Vendedores</t>
  </si>
  <si>
    <t>Cantidad</t>
  </si>
  <si>
    <t>Salario</t>
  </si>
  <si>
    <t>Total c/ Cargas</t>
  </si>
  <si>
    <t>Salario c/ carga</t>
  </si>
  <si>
    <t>Total c/ cargas</t>
  </si>
  <si>
    <t>Total Sueldos</t>
  </si>
  <si>
    <t>ANUAL x 13 ojo con los aguinaldos</t>
  </si>
  <si>
    <t>comision ventas</t>
  </si>
  <si>
    <t>DESC COM 3%</t>
  </si>
  <si>
    <t>IIBB 1%</t>
  </si>
  <si>
    <t>G op variable+MOD</t>
  </si>
  <si>
    <t>Prestamo metodo frances</t>
  </si>
  <si>
    <t>archivo correcto
resuelto resolucion 1er parcial 1c 2023 pisos deck me lo mando nicoAM</t>
  </si>
  <si>
    <t>por mas q diga sueldo mensual 
no tiene sentido que sea 180k x12 sino te da recontra negativo todo.</t>
  </si>
  <si>
    <t>Hago solucion de Nico 180k-137k (ya se venian pagando 137k) x 13 x 1.40</t>
  </si>
  <si>
    <t>un conocido de otro conocido mio de la utn rindio 
esta fecha y se saco 8 , utilizo prestamo Aleman.</t>
  </si>
  <si>
    <t>sueldos cargas sociales
(180k-137k) * 1.4 * 13</t>
  </si>
  <si>
    <t>500K unidades max. Compramos modulo adicional año 2.</t>
  </si>
  <si>
    <t>CAPITALIZACION TRIMESTRAL N=4</t>
  </si>
  <si>
    <t>dias año</t>
  </si>
  <si>
    <t>n=</t>
  </si>
  <si>
    <t>años</t>
  </si>
  <si>
    <t>fin columnas</t>
  </si>
  <si>
    <t xml:space="preserve">fin filas </t>
  </si>
  <si>
    <t>IIB y dto comercial:
Son impuestos que van sobre ganancia 
Entonces si no hay ganancia no hay impuesto</t>
  </si>
  <si>
    <t>ct</t>
  </si>
  <si>
    <t xml:space="preserve">NOTAS
Esta chequeado que los sueldos son 180.000-137.000 por mes porque ya se venian pagando 137.000 enotnces lo q se pasa a pagar ahora es esa diferencia de la resta mas su 40% porsupuesto.
Eso es por mes, hacerlo por año x13 (12 + aguinaldo)
</t>
  </si>
  <si>
    <t>0.20 * 0.7 + 0.0375 * 0.30 * (1-0.1)</t>
  </si>
  <si>
    <t>2. calculo nuevo wacc</t>
  </si>
  <si>
    <t>Riesgo País</t>
  </si>
  <si>
    <t>Prima</t>
  </si>
  <si>
    <t>la respuesta cambia en una nueva tasa de corte para el van…</t>
  </si>
  <si>
    <t xml:space="preserve"> SUMA DIRECTAMENTE LAS TASAS.</t>
  </si>
  <si>
    <t>5% y 1.5%</t>
  </si>
  <si>
    <t>precio de equilibrio es VAN igual a 0.</t>
  </si>
  <si>
    <t>inversion obras civiles</t>
  </si>
  <si>
    <t>inversion linea de producto</t>
  </si>
  <si>
    <t>Ingreso por desinversión 3</t>
  </si>
  <si>
    <t>Depreciacion inversión inicial 3</t>
  </si>
  <si>
    <t>Valor libro 3</t>
  </si>
  <si>
    <t>CVU de produccion</t>
  </si>
  <si>
    <t>Producto</t>
  </si>
  <si>
    <t>precio</t>
  </si>
  <si>
    <t>tipo</t>
  </si>
  <si>
    <t>Desperdicio</t>
  </si>
  <si>
    <t>Total sin desp</t>
  </si>
  <si>
    <t>precio - desp</t>
  </si>
  <si>
    <t>Cantidad x Caja necesaria</t>
  </si>
  <si>
    <t>$ por producto</t>
  </si>
  <si>
    <t>total</t>
  </si>
  <si>
    <t>total con MOD</t>
  </si>
  <si>
    <t>PVC</t>
  </si>
  <si>
    <t>MAS MOD DE</t>
  </si>
  <si>
    <t>Resina de madera</t>
  </si>
  <si>
    <t>Pigmentos</t>
  </si>
  <si>
    <t>x litro</t>
  </si>
  <si>
    <t>Barniz poliuretano</t>
  </si>
  <si>
    <t>Caja de carton</t>
  </si>
  <si>
    <t>x unidad</t>
  </si>
  <si>
    <t>AGREGAR</t>
  </si>
  <si>
    <t>OJO QUE SE SACA/AGREGA</t>
  </si>
  <si>
    <t>AGREGAR MOD</t>
  </si>
  <si>
    <t>Cafeina</t>
  </si>
  <si>
    <t>taurina/vitamina</t>
  </si>
  <si>
    <t>Energia</t>
  </si>
  <si>
    <t>g op fijo</t>
  </si>
  <si>
    <t>"tomamos una capitalizacion de 60 dias"</t>
  </si>
  <si>
    <t>SUPUESTOS:</t>
  </si>
  <si>
    <t>prestamos:</t>
  </si>
  <si>
    <t>ALTERNATIVA 1</t>
  </si>
  <si>
    <t>Cuota Constante</t>
  </si>
  <si>
    <t>TASA NOMINAL</t>
  </si>
  <si>
    <t>PERIODO DE CAPITALIZACION (DIAS)</t>
  </si>
  <si>
    <t>Saldo Inicial</t>
  </si>
  <si>
    <t>PLAZO DE LA INVERSION</t>
  </si>
  <si>
    <t>siempre a 1 año</t>
  </si>
  <si>
    <t>CANTIDAD DE DIAS PARA EL AÑO</t>
  </si>
  <si>
    <t>Cambiar Dias En la que esta Expresada</t>
  </si>
  <si>
    <t>Años</t>
  </si>
  <si>
    <t>este es el plazo de pago</t>
  </si>
  <si>
    <t>TASA EFECTIVA</t>
  </si>
  <si>
    <t>Dias en los que esta expresada la tasa</t>
  </si>
  <si>
    <t>Dias en los que quiero que quede expresada</t>
  </si>
  <si>
    <t xml:space="preserve">Nueva Tasa </t>
  </si>
  <si>
    <t>Estimamos que la alternativa 2 estara cerca del 60% de la alternativa 1.</t>
  </si>
  <si>
    <t>suma</t>
  </si>
  <si>
    <t>ALTERNATIVA 2</t>
  </si>
  <si>
    <t>SALIO POR TANTEO</t>
  </si>
  <si>
    <t>"el prestamo no cubre el CT"</t>
  </si>
  <si>
    <t>conviene llevar adelante le proy ya que el van es +</t>
  </si>
  <si>
    <t xml:space="preserve"> 38409 (alternativa 2)</t>
  </si>
  <si>
    <t xml:space="preserve"> hacemos los dos FF</t>
  </si>
  <si>
    <t>CALCULO CT</t>
  </si>
  <si>
    <t>NUEVAS UNIDADES</t>
  </si>
  <si>
    <t>no usado…</t>
  </si>
  <si>
    <t>NUEVO PRECIO</t>
  </si>
  <si>
    <t>Año 2</t>
  </si>
  <si>
    <t>Demanda de venta</t>
  </si>
  <si>
    <r>
      <t xml:space="preserve">Unidades Anuales </t>
    </r>
    <r>
      <rPr>
        <b/>
        <sz val="11"/>
        <color theme="1"/>
        <rFont val="Calibri"/>
        <family val="2"/>
      </rPr>
      <t>VENDIDAS</t>
    </r>
  </si>
  <si>
    <t>venta contado</t>
  </si>
  <si>
    <t>venta 30 días</t>
  </si>
  <si>
    <t>venta 60 días</t>
  </si>
  <si>
    <t>venta 90 días</t>
  </si>
  <si>
    <t>Descuentos</t>
  </si>
  <si>
    <t xml:space="preserve">     Descuento comercial</t>
  </si>
  <si>
    <t>Ingresos afecto a impuestos</t>
  </si>
  <si>
    <t>Unidades Anuales FABRICADAS</t>
  </si>
  <si>
    <t>Egresos afecto a impuestos</t>
  </si>
  <si>
    <t>Costos Variables - plazo</t>
  </si>
  <si>
    <t>Taurina</t>
  </si>
  <si>
    <t>Costos Variables Produccion- plazo</t>
  </si>
  <si>
    <t xml:space="preserve">      CVU contado</t>
  </si>
  <si>
    <t xml:space="preserve">      CVU 30 dias energia y mod</t>
  </si>
  <si>
    <t xml:space="preserve">      CVU 60 dias  Cafeina y Taurina</t>
  </si>
  <si>
    <t xml:space="preserve">      CVU 90 dias</t>
  </si>
  <si>
    <t>Costos fijos - plazo</t>
  </si>
  <si>
    <t>gasto fijo</t>
  </si>
  <si>
    <t>seguridad</t>
  </si>
  <si>
    <t>Sueldos - plazo</t>
  </si>
  <si>
    <t xml:space="preserve">    Operarios</t>
  </si>
  <si>
    <t xml:space="preserve">    Supervisor</t>
  </si>
  <si>
    <t>Deficit Acumulado</t>
  </si>
  <si>
    <t xml:space="preserve">poner el sueldo que tira la otra tabla (viene con aguinaldo y cargas sociales) /12 </t>
  </si>
  <si>
    <t>CT=</t>
  </si>
  <si>
    <t>SI EL CT DA ROJO HASTA EL AÑO 2, ESTE NUMERO TAMBIEN LO CUBRE (LO DIJO GRANDOSO!!)</t>
  </si>
  <si>
    <t>Cada vez que hay un aumento de produccion de unidades tenes q hacer una nueva cuenta de capital de trabajo.</t>
  </si>
  <si>
    <t>poner arriba las nuevas unidades en el mes 13. y el precio de venta.</t>
  </si>
  <si>
    <t>ejercicio BIELSA ct neg hasta mes 15. ojo verlo luego.</t>
  </si>
  <si>
    <t>NICO: es igual que la tabla de la derecha pero anual.</t>
  </si>
  <si>
    <t xml:space="preserve">calculo ct siguientes años </t>
  </si>
  <si>
    <t>CAPITAL DE TRABAJO POR FORMULA MAGICA (UN AÑO EN PARTICULAR)</t>
  </si>
  <si>
    <t>CAPITAL DE TRABAJO POR FORMULA MAGICA (TODOS LOS AÑOS)</t>
  </si>
  <si>
    <t>Unidades demandadas año siguiente</t>
  </si>
  <si>
    <t>Variación</t>
  </si>
  <si>
    <t>Cambio en operación</t>
  </si>
  <si>
    <t>Inversión Capital de Trabajo</t>
  </si>
  <si>
    <t>Unidades demandadas año en curso</t>
  </si>
  <si>
    <t>PONER INVERSION INICIAL</t>
  </si>
  <si>
    <t>Unidades demandadas año anterior</t>
  </si>
  <si>
    <t>OK</t>
  </si>
  <si>
    <t>Inversión inicial Capital de Trabajo</t>
  </si>
  <si>
    <t>Magic Formula</t>
  </si>
  <si>
    <t>CAMBIAR</t>
  </si>
  <si>
    <t>SUELDOS</t>
  </si>
  <si>
    <t>Puesto</t>
  </si>
  <si>
    <t>Cant</t>
  </si>
  <si>
    <t>Sueldo mensual</t>
  </si>
  <si>
    <t>Cargas sociales</t>
  </si>
  <si>
    <t>Total anual c/aguin</t>
  </si>
  <si>
    <t>Supervisor</t>
  </si>
  <si>
    <t>Operario</t>
  </si>
  <si>
    <t>FRANCES</t>
  </si>
  <si>
    <t>Crece el capital (amortizacion creciente) - decrece pago interes (interes decreciente)</t>
  </si>
  <si>
    <t>cuotas FIJAS</t>
  </si>
  <si>
    <t>CUOTA=capital*(TEA/(1-((1+ TEA)^(-cantCuotas))))</t>
  </si>
  <si>
    <t>i(periodo1) = saldoInicio*TEA</t>
  </si>
  <si>
    <t>CAPITAL= CUOTA - INTERES</t>
  </si>
  <si>
    <t xml:space="preserve">Amortiza mas rapido el capital </t>
  </si>
  <si>
    <t>CUOTA = INTERES + CAPITAL</t>
  </si>
  <si>
    <t>Capital es FIJO</t>
  </si>
  <si>
    <t>i periodo1= saldo1 * tea</t>
  </si>
  <si>
    <t>Pago menos interes</t>
  </si>
  <si>
    <t>CAPITAL= MONTO1/PLAZO</t>
  </si>
  <si>
    <r>
      <rPr>
        <sz val="11"/>
        <color rgb="FF0000FF"/>
        <rFont val="Arial"/>
        <family val="2"/>
      </rPr>
      <t xml:space="preserve">TNA TEA  *** </t>
    </r>
    <r>
      <rPr>
        <u/>
        <sz val="11"/>
        <color rgb="FF0000FF"/>
        <rFont val="Arial"/>
        <family val="2"/>
      </rPr>
      <t>https://ikiwi.net.ar/calculadoras/tna-a-tea/</t>
    </r>
    <r>
      <rPr>
        <sz val="11"/>
        <color rgb="FF0000FF"/>
        <rFont val="Arial"/>
        <family val="2"/>
      </rPr>
      <t xml:space="preserve"> ***</t>
    </r>
  </si>
  <si>
    <t>Período</t>
  </si>
  <si>
    <t>Período Capitalización</t>
  </si>
  <si>
    <t>ESTE CAMBIA</t>
  </si>
  <si>
    <t>TE</t>
  </si>
  <si>
    <t>DICE A 30 DIAS HACERLO CON EL TEMPLATE DE NICO.</t>
  </si>
  <si>
    <t>VA SIN SUELDOS, ESO VA EN CT.</t>
  </si>
  <si>
    <t>J</t>
  </si>
  <si>
    <t>7*6</t>
  </si>
  <si>
    <t>i</t>
  </si>
  <si>
    <t>w</t>
  </si>
  <si>
    <t>n</t>
  </si>
  <si>
    <t>Financiación</t>
  </si>
  <si>
    <t>Capital de trabajo (resuelto grandoso WC LISTO)</t>
  </si>
  <si>
    <t>cuotas de depreciacion 200 mil</t>
  </si>
  <si>
    <t xml:space="preserve">valor libro 1.200.000 </t>
  </si>
  <si>
    <t>se deprecia a 10 años</t>
  </si>
  <si>
    <t>valor original 2.000.000</t>
  </si>
  <si>
    <t>año 5 se vende a 30% de 2M.</t>
  </si>
  <si>
    <t>valor de venta año 5</t>
  </si>
  <si>
    <t>tenia 4 años ya de vida.</t>
  </si>
  <si>
    <t>400.000 es el 20% del estibador</t>
  </si>
  <si>
    <t>en 10 años son cuotas de 40k.</t>
  </si>
  <si>
    <t>queda para depreciar.</t>
  </si>
  <si>
    <t>deprecio 2 años.</t>
  </si>
  <si>
    <t>VL= 160.000</t>
  </si>
  <si>
    <t>Valor libro 2 20%</t>
  </si>
  <si>
    <t>Depreciacion inversión inicial 2 40%</t>
  </si>
  <si>
    <t>el de 80%</t>
  </si>
  <si>
    <t>El de 20%</t>
  </si>
  <si>
    <t>tenia 4 años ya de vida</t>
  </si>
  <si>
    <t>80% de 2 millones son 1.600.000</t>
  </si>
  <si>
    <t>div 10 son cuotas de 160k.</t>
  </si>
  <si>
    <t xml:space="preserve">voy a depreciar 5 años 160k </t>
  </si>
  <si>
    <t>me queda 4 +5 = 9 años me queda depreciar 1 año mas</t>
  </si>
  <si>
    <t>valor libro entonces es 160k.</t>
  </si>
  <si>
    <t>Deprecracion inversion inicial 1 80%</t>
  </si>
  <si>
    <t>Valor libro 1 80%</t>
  </si>
  <si>
    <t>estudio de perfi l-20000000 (no lo sumo grandozo)</t>
  </si>
  <si>
    <t>Depreciación maquinaria</t>
  </si>
  <si>
    <t>Valor libro maquinaria</t>
  </si>
  <si>
    <t>TASA LIBRE DE RIESGO 5/100</t>
  </si>
  <si>
    <t>"EL PASIVO FINANCIA 40% DE LOS ACTIVOS"</t>
  </si>
  <si>
    <t>(50k/230k)15%+(150k/230k)9%</t>
  </si>
  <si>
    <t>ROE=Ke = Utilidad neta / patrimonio neto.</t>
  </si>
  <si>
    <t xml:space="preserve">las acciones son MAS volatiles que las del mercado (25%) </t>
  </si>
  <si>
    <t>Beta</t>
  </si>
  <si>
    <t xml:space="preserve"> si B es 1 , las acciones son igual de volatiles que las del mercado</t>
  </si>
  <si>
    <t>si B es 0,5 como la raiz menor esa, es que seria MENOS volatil que el mercado porque el mercado es 1.25 (Km).</t>
  </si>
  <si>
    <t>WACC =</t>
  </si>
  <si>
    <t>+</t>
  </si>
  <si>
    <t>(1-t)</t>
  </si>
  <si>
    <t>EA es efectiva anual.</t>
  </si>
  <si>
    <t>Monto de Deuda</t>
  </si>
  <si>
    <t>solucion grandoso :</t>
  </si>
  <si>
    <t>2 ) van puro sin prestamos 
van del accionista con prestamos.</t>
  </si>
  <si>
    <t>El van dio positivo , ok . PERO NO HAY apalancamiento financiero 
porq la TEA del prestamos es 50% y la tasa de corte es 32.52%</t>
  </si>
  <si>
    <t>3)apalancamiento: tasa del corte del proy debe ser mayor a la tasa del prestamo.
El int debe ser mas chico q la tasa de corte del proyecto. Y el van debe ser positivo.</t>
  </si>
  <si>
    <t>Elasticidad de la demanda</t>
  </si>
  <si>
    <t>Var. Q</t>
  </si>
  <si>
    <t>Var. P</t>
  </si>
  <si>
    <t>Q/P</t>
  </si>
  <si>
    <t xml:space="preserve">Deprecracion inversion inicial 1 </t>
  </si>
  <si>
    <t>Alquiler espacio</t>
  </si>
  <si>
    <t>TOMAMOS VALOR RESIDUAL COMO VALOR COMPRA ( A NOSOTROS NOS LA COMPRAN)</t>
  </si>
  <si>
    <t>Inv sin iva con costo inst</t>
  </si>
  <si>
    <t>costo desinstalacion</t>
  </si>
  <si>
    <t xml:space="preserve">desisntalacion </t>
  </si>
  <si>
    <t>inversion 1</t>
  </si>
  <si>
    <t xml:space="preserve">Valor libro 1 </t>
  </si>
  <si>
    <t>No ponemos valor residual 30% lo interpretamos como que es un valor de reventa del 30%</t>
  </si>
  <si>
    <t>SIN IVA la reventa.</t>
  </si>
  <si>
    <t>Ingreso por reventa 1</t>
  </si>
  <si>
    <t>inversion 3</t>
  </si>
  <si>
    <t xml:space="preserve">Depreciacion inversión 3 </t>
  </si>
  <si>
    <t>Ingreso por reventa 3</t>
  </si>
  <si>
    <t>HAY QUE TRAER A VALOR PRESENTE LA VENTA DE LA INVERSION 3 EN EL QUINTO AÑO DE USO.</t>
  </si>
  <si>
    <t>VA = VF/ (1+I)^3</t>
  </si>
  <si>
    <t>TOMANDO UNA INFLACION DEL 70% ANUAL EN 3 AÑOS 125K SON 25K DE HOY.</t>
  </si>
  <si>
    <t>inversion 2 ESTUCHADORA</t>
  </si>
  <si>
    <t>Depreciacion inversión inicial 2 EST 60%</t>
  </si>
  <si>
    <t>Depreciacion inversión inicial 2 EST 40%</t>
  </si>
  <si>
    <t>VL inversión inicial 2 EST 40%</t>
  </si>
  <si>
    <t>VERIFICO DEPRECIACION QUE DE 1 MILLON</t>
  </si>
  <si>
    <t>Ingreso por reventa 2 60%</t>
  </si>
  <si>
    <t>Ingreso por reventa 2 40%</t>
  </si>
  <si>
    <t>INVERSION CAPACITACION</t>
  </si>
  <si>
    <t>VL CAPACIT</t>
  </si>
  <si>
    <t>DEPRECIACION CAP.</t>
  </si>
  <si>
    <t>ELASTICIDAD CON OTRAS HIERBAS</t>
  </si>
  <si>
    <t>Demanda en base a Precio, PEA y Publicidad</t>
  </si>
  <si>
    <t>PEA</t>
  </si>
  <si>
    <t>Marketing</t>
  </si>
  <si>
    <t>Demanda anual</t>
  </si>
  <si>
    <t>Año 3</t>
  </si>
  <si>
    <t>Año 4</t>
  </si>
  <si>
    <t>Año 5</t>
  </si>
  <si>
    <t>PEA = Poblacion Economicamente activa</t>
  </si>
  <si>
    <t>Variaciones</t>
  </si>
  <si>
    <t>Por habitante</t>
  </si>
  <si>
    <t xml:space="preserve">Por inversion </t>
  </si>
  <si>
    <t>Por precio</t>
  </si>
  <si>
    <t>GASTO FIJO</t>
  </si>
  <si>
    <t>COMISION VENTA NETA 2%</t>
  </si>
  <si>
    <t>GASTOS ADMN</t>
  </si>
  <si>
    <t>MP2</t>
  </si>
  <si>
    <t xml:space="preserve">      CVU 30 dias MP1</t>
  </si>
  <si>
    <t xml:space="preserve">      CVU 60 dias  mp2</t>
  </si>
  <si>
    <t xml:space="preserve">      CVU 30 dias MOD</t>
  </si>
  <si>
    <t xml:space="preserve">      CVU 30 dias otros</t>
  </si>
  <si>
    <t>alquiler</t>
  </si>
  <si>
    <t>g admin</t>
  </si>
  <si>
    <t>1,5%</t>
  </si>
  <si>
    <t>"la tasa exigida por los inversionistas alcanza al 12% anual"</t>
  </si>
  <si>
    <t>prestamo que involucra? Puse sin iva en el prestamo esta ok ?</t>
  </si>
  <si>
    <t>en inversion inicial chequear las inversiones en el año 0 estan ok ? Sin iva con costo de instalacion se deprecia todo ?</t>
  </si>
  <si>
    <t>no puse en el prestamo la 3era inversion de 100k de capacitacion, va o no va?</t>
  </si>
  <si>
    <t>faltan las preguntas.</t>
  </si>
  <si>
    <t>PV</t>
  </si>
  <si>
    <t>Año 0</t>
  </si>
  <si>
    <t>1) El proyecto agrega valor dado que el VAN da positivo</t>
  </si>
  <si>
    <t>3 CALCULO PRECIO EQUILIBRIO</t>
  </si>
  <si>
    <t>1) se recomeinda llevar a cabo el proyecto dado que el van es positivo.</t>
  </si>
  <si>
    <t>5) ver capital de trabajo de la solucion de grandoso a 60 dias WC 60 dias.</t>
  </si>
  <si>
    <t>Mercado  (ABC1 para los primeros 5 años )</t>
  </si>
  <si>
    <t>CABA</t>
  </si>
  <si>
    <t xml:space="preserve">Target </t>
  </si>
  <si>
    <t>Adultos</t>
  </si>
  <si>
    <t xml:space="preserve">Elasticidad </t>
  </si>
  <si>
    <t>Var Demanda</t>
  </si>
  <si>
    <t>Var precio</t>
  </si>
  <si>
    <t>Precio inicial</t>
  </si>
  <si>
    <t>0) poner precio venta</t>
  </si>
  <si>
    <t xml:space="preserve">1) poner la demanda </t>
  </si>
  <si>
    <t xml:space="preserve">2)poner elasticidad </t>
  </si>
  <si>
    <t>3) Var demanda y Var precio se setearan solos.</t>
  </si>
  <si>
    <t>Si la demanda sube -&gt; negativo                 Si la demanda baja -&gt; positivo</t>
  </si>
  <si>
    <t>TOQUE ACA Y FUI BAJANDO LA DEMANDA HASTA Q ME DIO 0.95 EL PRECIO DEL TERCER AÑO</t>
  </si>
  <si>
    <t>VER PESTAÑA CT DE BEBIDAS ENERG</t>
  </si>
  <si>
    <t>NO SE PONE DA NEG</t>
  </si>
  <si>
    <t>3) ELASTISIDAD</t>
  </si>
  <si>
    <t xml:space="preserve">PUNTO 4) PRECIO DE EQUILIBRIO </t>
  </si>
  <si>
    <t>4) HECHO EN SOLAPA SIGUIENTE</t>
  </si>
  <si>
    <t>MP1</t>
  </si>
  <si>
    <t>OTROS</t>
  </si>
  <si>
    <t>COSTOS VAR</t>
  </si>
  <si>
    <t>Ventas sin ESE 2% de comisiones</t>
  </si>
  <si>
    <t>Se considera la capacitacion.
NO considere el CT.</t>
  </si>
  <si>
    <t>En la catedra dicen q el CT va en el prestamo pero como siempre lo hacemos mal no lo consideramos-&gt; lo explicitamos.</t>
  </si>
  <si>
    <t>Estan ok.</t>
  </si>
  <si>
    <t>SI VA.</t>
  </si>
  <si>
    <t>NO HAY ACCIONES LA TASA DE CORTE ES EL WACC DIRECTAMENTE</t>
  </si>
  <si>
    <t xml:space="preserve">ff puro sin prestamo las tasas son parecidas, de prestamo y wacc. </t>
  </si>
  <si>
    <t>1 se sugiere llevar adelante el proy porque el van es &gt;0</t>
  </si>
  <si>
    <t>2 hecho en la solapa sigiuente</t>
  </si>
  <si>
    <t>3 hecho en la siguiente solapa de ff puro</t>
  </si>
  <si>
    <t>LE SUMAMOS LOS PORCENTAJES QUE NOS DAN PORQUE NO NOS DIERON WACC</t>
  </si>
  <si>
    <t>PTO 3</t>
  </si>
  <si>
    <t>4 a mayor cant de ventas mayor beneficio (tenemos duda de este pto)</t>
  </si>
  <si>
    <t>inversion con dólar oficial</t>
  </si>
  <si>
    <t>inversion instalacion</t>
  </si>
  <si>
    <t>3 operarios</t>
  </si>
  <si>
    <t>YA TENIAMOS 50 OPERARIOS, le pagabamos 230. ahora 300k o sea 70k por operario viejo mas las cargas y por 13 sueldos (12 + aguinaldo)</t>
  </si>
  <si>
    <t>5 operarios nuevos</t>
  </si>
  <si>
    <t>inversion capacitacion</t>
  </si>
  <si>
    <t>Indeminzacion gerente</t>
  </si>
  <si>
    <t>supuestos</t>
  </si>
  <si>
    <t>AUDITOR EXTERNO no se considera en despidos.</t>
  </si>
  <si>
    <t>Ahorro por  sueldo de gerente</t>
  </si>
  <si>
    <t>20% extra</t>
  </si>
  <si>
    <t>asumo depreciacion 5 años.</t>
  </si>
  <si>
    <t>Depreciacion inversión linea prod 80%</t>
  </si>
  <si>
    <t>Depreciacion inversión linea prod 20%</t>
  </si>
  <si>
    <t>Valor libro 20%</t>
  </si>
  <si>
    <t>Valor libro 80%</t>
  </si>
  <si>
    <t>Ingreso por reventa 2 20%</t>
  </si>
  <si>
    <t xml:space="preserve">GASTO FIJO 50% de 5M </t>
  </si>
  <si>
    <t>Se pasa a pagar 7.500.000 -&gt; 2.500.000 es lo nuevo.</t>
  </si>
  <si>
    <t>asumo que se vende 60% de TODA la linea de produccion (las dos maquinas)</t>
  </si>
  <si>
    <t>ACERO</t>
  </si>
  <si>
    <t>plastic</t>
  </si>
  <si>
    <t>herr</t>
  </si>
  <si>
    <t>USAR ESTE TEMPLATE DE CVU</t>
  </si>
  <si>
    <t>asumo capacitacion NO COMO GASTO sino como inversion. Se suma al prestamo.</t>
  </si>
  <si>
    <t>X2*3.00+X2=1</t>
  </si>
  <si>
    <t>X2= 0.25</t>
  </si>
  <si>
    <t>X1=0,75</t>
  </si>
  <si>
    <t>B(Krm-Krf)=10%</t>
  </si>
  <si>
    <t xml:space="preserve">las acciones son MAS volatiles que las del mercado ( el mercado es 25%) </t>
  </si>
  <si>
    <t>RECUERDO DE PISOS DECK PARA ESTE EJ DE TERMOS:</t>
  </si>
  <si>
    <t>PRIMA</t>
  </si>
  <si>
    <t>SACO KRM A PARTIR DE PRIMA</t>
  </si>
  <si>
    <t>IIGG 15%</t>
  </si>
  <si>
    <t>Asumo como impuesto a las ganancias es del 15%</t>
  </si>
  <si>
    <t>ACA INVOLUCRA -500</t>
  </si>
  <si>
    <t xml:space="preserve">      CVU 30 HERRAJES Y PLASTIC S/DESP Y CANT NEC X U</t>
  </si>
  <si>
    <t xml:space="preserve">      CVU contado ACERO S/DESP Y CANT NEC X U</t>
  </si>
  <si>
    <t>sueldos</t>
  </si>
  <si>
    <t xml:space="preserve">    Operarios nuevos 5</t>
  </si>
  <si>
    <t xml:space="preserve">    Operarios nuevos 3</t>
  </si>
  <si>
    <t>Costo de produccion unitario</t>
  </si>
  <si>
    <t>asumo punto 2 con el precio del acero con desperdicio</t>
  </si>
  <si>
    <t xml:space="preserve">RTA PTO 2 </t>
  </si>
  <si>
    <t>1 CONVIENE LLEVAR ADELANTE EL PROY PORQ EL VAN ES POSITIVO</t>
  </si>
  <si>
    <t>2 EN LA TERCERA PESTAÑA</t>
  </si>
  <si>
    <t>3 COMPARO WACC 21% Y TEA 77%
LA TAZA DEL PROYECTO DEBE SER MAYOR A LA TAZA DEL PRESTAMO. NO HAY APALANCAMIENTO FINANCIERO</t>
  </si>
  <si>
    <t>4 HECHO EN OTRA PESTAÑA CT 60</t>
  </si>
  <si>
    <t>Unidades año3</t>
  </si>
  <si>
    <t>precio año 3</t>
  </si>
  <si>
    <t>se saco los 500 de envio</t>
  </si>
  <si>
    <t>SIGUE TODO EN POSITIVO , NO NEC CT EN EL AÑO 3.</t>
  </si>
  <si>
    <t xml:space="preserve">"LO BANCAN LOS OTROS AÑOS" </t>
  </si>
  <si>
    <t>SI BIEN HAY EN EL MES 25 56M NEG Y EN EL MES 26 31M NEG , NO HACE FALTA CT . SE ALIMENTA DE LO ANTERIOR.</t>
  </si>
  <si>
    <t>Se asume que el bono no forma parte del aguinaldo.</t>
  </si>
  <si>
    <t>pizzero ag y bono</t>
  </si>
  <si>
    <t>ayudante ag y bono</t>
  </si>
  <si>
    <t>cajera ag y bono</t>
  </si>
  <si>
    <t>muzza</t>
  </si>
  <si>
    <t>harina</t>
  </si>
  <si>
    <t>lata</t>
  </si>
  <si>
    <t>x 25kg</t>
  </si>
  <si>
    <t>x 8kg</t>
  </si>
  <si>
    <t>Asumimos tercearizar la produccion de empanadas.</t>
  </si>
  <si>
    <t>Precio venta pizza</t>
  </si>
  <si>
    <t>precio venta empanada tecearizada</t>
  </si>
  <si>
    <t>ventas totales</t>
  </si>
  <si>
    <t>Unidades producidas pizzas</t>
  </si>
  <si>
    <t>Unidades producidas de doc de emp</t>
  </si>
  <si>
    <t>ingresos por ventas doc de emp</t>
  </si>
  <si>
    <t>costos variablespor ventas doc de emp</t>
  </si>
  <si>
    <t>costos variables por ventas pizzas</t>
  </si>
  <si>
    <t>ingresos por ventas pizzas</t>
  </si>
  <si>
    <t>TODO SIN IVA, NO NOS GUSTA EL IVA</t>
  </si>
  <si>
    <t>inversion horno</t>
  </si>
  <si>
    <t>inversion Cortadora de fiambre</t>
  </si>
  <si>
    <t>inversion heladera</t>
  </si>
  <si>
    <t>inversion muebles</t>
  </si>
  <si>
    <t>inversion obra pintura ref</t>
  </si>
  <si>
    <t>inversion Amasadora</t>
  </si>
  <si>
    <t>deprec inversion Amasadora</t>
  </si>
  <si>
    <t>deprec inversion horno</t>
  </si>
  <si>
    <t>deprec inversion Cortadora de fiambre</t>
  </si>
  <si>
    <t>deprec inversion heladera</t>
  </si>
  <si>
    <t>deprec inversion muebles</t>
  </si>
  <si>
    <t>deprec inversion obra pintura ref</t>
  </si>
  <si>
    <t>VL inversion Amasadora</t>
  </si>
  <si>
    <t>VL inversion horno</t>
  </si>
  <si>
    <t>VL inversion Cortadora de fiambre</t>
  </si>
  <si>
    <t>VL inversion heladera</t>
  </si>
  <si>
    <t>VL inversion muebles</t>
  </si>
  <si>
    <t>VL inversion obra pintura ref</t>
  </si>
  <si>
    <t>validacion con "solucion mia " excel.</t>
  </si>
  <si>
    <t xml:space="preserve">      CVU 30 dias Muzza</t>
  </si>
  <si>
    <t xml:space="preserve">      CVU 30 dias Harina</t>
  </si>
  <si>
    <t xml:space="preserve">      CVU 30 dias lata</t>
  </si>
  <si>
    <t>pizzero ayudante y cajera</t>
  </si>
  <si>
    <t>impuestos gasto fijo</t>
  </si>
  <si>
    <t>alquiler gasto fijo</t>
  </si>
  <si>
    <t>se asume 56.000 de impuestos anual.</t>
  </si>
  <si>
    <r>
      <t xml:space="preserve">Unidades Anuales </t>
    </r>
    <r>
      <rPr>
        <b/>
        <sz val="11"/>
        <color theme="1"/>
        <rFont val="Calibri"/>
        <family val="2"/>
      </rPr>
      <t>VENDIDAS</t>
    </r>
    <r>
      <rPr>
        <b/>
        <sz val="11"/>
        <color theme="4"/>
        <rFont val="Calibri"/>
        <family val="2"/>
      </rPr>
      <t xml:space="preserve"> pizzas</t>
    </r>
  </si>
  <si>
    <r>
      <t xml:space="preserve">Unidades Anuales </t>
    </r>
    <r>
      <rPr>
        <b/>
        <sz val="11"/>
        <color theme="1"/>
        <rFont val="Calibri"/>
        <family val="2"/>
      </rPr>
      <t>VENDIDAS</t>
    </r>
    <r>
      <rPr>
        <b/>
        <sz val="11"/>
        <color theme="4"/>
        <rFont val="Calibri"/>
        <family val="2"/>
      </rPr>
      <t xml:space="preserve"> emp</t>
    </r>
  </si>
  <si>
    <t>precio emp</t>
  </si>
  <si>
    <t>Precio pizza</t>
  </si>
  <si>
    <t>venta 60 días pizz</t>
  </si>
  <si>
    <t>venta 60 días emp</t>
  </si>
  <si>
    <t xml:space="preserve">      CVU 30 dias doc empanada</t>
  </si>
  <si>
    <t>asumo cargas sociales incluidas.</t>
  </si>
  <si>
    <t>Cuando te dan el riesgo pais</t>
  </si>
  <si>
    <t>se pone Libre de riesgo + riesgo pais +B(krm-krf) = Ke</t>
  </si>
  <si>
    <t>puntos basicos /100</t>
  </si>
  <si>
    <t>Krpais</t>
  </si>
  <si>
    <t xml:space="preserve">    ke= krf + B*(km - krf) +Krpais</t>
  </si>
  <si>
    <t xml:space="preserve">   Tasa Libre de riesgo (Krf) = rf</t>
  </si>
  <si>
    <t xml:space="preserve">  Riesgo Mercado(km) </t>
  </si>
  <si>
    <t xml:space="preserve">   t= tasa impuesto IIGG</t>
  </si>
  <si>
    <t xml:space="preserve">  Si no tengo deuda Kd=0</t>
  </si>
  <si>
    <t xml:space="preserve">    x - equity</t>
  </si>
  <si>
    <t xml:space="preserve">   x-  deuda</t>
  </si>
  <si>
    <t>Le saca el % porq sino con % da horrendo.</t>
  </si>
  <si>
    <t>RESUELTO</t>
  </si>
  <si>
    <t>EN EL RESUELTO LO SACA DEL PRESTAMO PERO ESTA MAL.</t>
  </si>
  <si>
    <t>METETE LA TAZA DEL WACC EN EL ORTO PORQ NO HAY DATOS PARA CALCULARLA</t>
  </si>
  <si>
    <t>HARCODEO LA TASA WACC A 13 % PORQUE EL EJ ES UNA MIERDA</t>
  </si>
  <si>
    <t>TIR =</t>
  </si>
  <si>
    <t>ROI=</t>
  </si>
  <si>
    <t>Rentabilidad de la inversion</t>
  </si>
  <si>
    <t>ROI = ( (FF1+FF2+FF3+FF4+FF5) - FF0)   / FF0</t>
  </si>
  <si>
    <t>ROE= 𝑼𝒕𝒊𝒍𝒊𝒅𝒂𝒅 𝑵𝒆𝒕𝒂 (del último ejercicio)/𝑷𝒂𝒕𝒓𝒊𝒎𝒐𝒏𝒊𝒐 𝑵𝒆𝒕𝒐</t>
  </si>
  <si>
    <t xml:space="preserve">vas a poner 1 $ y te devuelven 8$ </t>
  </si>
  <si>
    <t>4. la reventa del suplemento da perdida contable porque le quedaban años sin depreciar. Sin embargo, desde 
el punto de vista financiero, da ganancia, porque entra más plata
Vendes 30.000 y valor libro -40.000 desde el punto de vista contable estas -10.000 pero desde el punto de vista financiero salis ganando.</t>
  </si>
  <si>
    <t>PAYBACK cto tiempo va a pasar hasta recup la inv del año 0</t>
  </si>
  <si>
    <t>ESTE FINAL DE LAS PIZZAS LO DEJAMOS Y NO LO RESOLVIMOS FULL 
LO RESOLVIMOS TODO MENOS EL WACC Y LAS PREGUNTAS.</t>
  </si>
  <si>
    <t>Sueldo gerente 2011 a 2020 1 sueldo por año (9 años)</t>
  </si>
  <si>
    <t>todo concepto sin aguinaldo</t>
  </si>
  <si>
    <t>con aguinaldo.</t>
  </si>
  <si>
    <t>Sueldo gerente 2020 2021 2022 2023</t>
  </si>
  <si>
    <t>FRUTOS ROJOS</t>
  </si>
  <si>
    <t>SORBATO K</t>
  </si>
  <si>
    <t>AZUCAR</t>
  </si>
  <si>
    <t xml:space="preserve">FRASCOS </t>
  </si>
  <si>
    <t>100 U</t>
  </si>
  <si>
    <t>ETIQUETAS</t>
  </si>
  <si>
    <t>1 U</t>
  </si>
  <si>
    <t>ALQUILER</t>
  </si>
  <si>
    <t>SUELDOS ADMN</t>
  </si>
  <si>
    <t>recordar ahorro por sueldo</t>
  </si>
  <si>
    <t>recordar x13 y xCargas Soc.</t>
  </si>
  <si>
    <t>Deprecracion Maq Vieja</t>
  </si>
  <si>
    <t>inversion maqina para 3er año</t>
  </si>
  <si>
    <t xml:space="preserve"> </t>
  </si>
  <si>
    <t>Prestamo 40%</t>
  </si>
  <si>
    <t>Prestamo 30%</t>
  </si>
  <si>
    <t>capital va en la ultima cuota.</t>
  </si>
  <si>
    <t>Interés Constante</t>
  </si>
  <si>
    <t>Capital Constante</t>
  </si>
  <si>
    <t>interes egreso afecto a imp</t>
  </si>
  <si>
    <t>Capital egreso no afecto a imp</t>
  </si>
  <si>
    <t>Cuota (interes + cap)</t>
  </si>
  <si>
    <t>Datos del prestamo</t>
  </si>
  <si>
    <t>30 * 6</t>
  </si>
  <si>
    <t>Plazo de pago, cantidad de cuotas anuales</t>
  </si>
  <si>
    <t>Interés</t>
  </si>
  <si>
    <t>Capital Restante</t>
  </si>
  <si>
    <t>Suma</t>
  </si>
  <si>
    <t>Interes Constante</t>
  </si>
  <si>
    <t>Capital del prestamo</t>
  </si>
  <si>
    <t>Ingreso por reventa  20%</t>
  </si>
  <si>
    <t>Calculo del precio</t>
  </si>
  <si>
    <t>Qd=600000-50P</t>
  </si>
  <si>
    <t>Qo=150P-100000</t>
  </si>
  <si>
    <t>600000-50P=150P-100000</t>
  </si>
  <si>
    <t>700000=200P</t>
  </si>
  <si>
    <t>Elasticidad = (dQ/Q) / (dP/P)</t>
  </si>
  <si>
    <t>Elasticidad</t>
  </si>
  <si>
    <t>Completar elasticidad</t>
  </si>
  <si>
    <t>Elasticidad = [(Qf - Qi) / Qi] / [(Pf - Pi) / Pi]</t>
  </si>
  <si>
    <t>SI LA DEMANDA AUMENTA, LA ELASTICIDAD ES NEGATIVA</t>
  </si>
  <si>
    <t>Pf= (((Qf - Qi) / Qi) / Elasticidad ) * Pi + Pi</t>
  </si>
  <si>
    <t>Demanda en base a elasticidad</t>
  </si>
  <si>
    <t>Anio</t>
  </si>
  <si>
    <t>Demanda Total</t>
  </si>
  <si>
    <t>Precio por unidad</t>
  </si>
  <si>
    <t>Precio total</t>
  </si>
  <si>
    <t>Costo por unidad</t>
  </si>
  <si>
    <t>ELASTICIDAD CONSTANTE</t>
  </si>
  <si>
    <t>ELASTICIDAD VARIABLE</t>
  </si>
  <si>
    <t>Precio en base a elasticidad</t>
  </si>
  <si>
    <t>igualo ecuaciones de mercado</t>
  </si>
  <si>
    <t>Calcular DEMANDA en base a elasticidad</t>
  </si>
  <si>
    <t>COMPLETAR</t>
  </si>
  <si>
    <t>qd=qo</t>
  </si>
  <si>
    <t>queda p=700000/200</t>
  </si>
  <si>
    <t>p=3500</t>
  </si>
  <si>
    <t>Precio Unitario</t>
  </si>
  <si>
    <t>ahora reemplazo p en qd=qo para saber la cantidad inicial</t>
  </si>
  <si>
    <t>Var demanda</t>
  </si>
  <si>
    <t>Precio Total</t>
  </si>
  <si>
    <t>qd=qo=425000</t>
  </si>
  <si>
    <t>CON EDADES</t>
  </si>
  <si>
    <t>Segmentación de población para demanda</t>
  </si>
  <si>
    <t>Grupo x Edad</t>
  </si>
  <si>
    <t>Año2</t>
  </si>
  <si>
    <t>&lt;&lt;Segmento de edad&gt;&gt;</t>
  </si>
  <si>
    <t>NSE</t>
  </si>
  <si>
    <t>%</t>
  </si>
  <si>
    <t>Completar con los niveles socioeconomicos indicados en el enunciado solamente</t>
  </si>
  <si>
    <t>Población interesada</t>
  </si>
  <si>
    <t>Segmento de edad</t>
  </si>
  <si>
    <t>Sumatoria de la cantidad del segmento por su porcentaje</t>
  </si>
  <si>
    <t>CON SHARE</t>
  </si>
  <si>
    <t>Share</t>
  </si>
  <si>
    <t>pongo a mano</t>
  </si>
  <si>
    <t>0.8*0.05</t>
  </si>
  <si>
    <t>Salio poninedo precio inicial los del año 2 y 3 que por dato se mantienen</t>
  </si>
  <si>
    <t>TMb pusimos que varia un 0.05 el precio</t>
  </si>
  <si>
    <t>y TMB pusimos -0.8 de elasticidad</t>
  </si>
  <si>
    <t>luego salio Var dem y Dem.</t>
  </si>
  <si>
    <t>(que son los datos en verdecito)</t>
  </si>
  <si>
    <t>la demanda no la teniamos sale por la pestaña "damanda(ok) Expl de otra forma"</t>
  </si>
  <si>
    <t>calculo con dato del enunciado a mano</t>
  </si>
  <si>
    <t>GASTO VAR</t>
  </si>
  <si>
    <t xml:space="preserve">      CVU contado frutos rojos</t>
  </si>
  <si>
    <t xml:space="preserve">      CVU 30 dias sorbato</t>
  </si>
  <si>
    <t xml:space="preserve">      CVU 90 dias azucar</t>
  </si>
  <si>
    <t xml:space="preserve">      CVU 60 dias frascos</t>
  </si>
  <si>
    <t xml:space="preserve">      CVU 60 dias etiquetas</t>
  </si>
  <si>
    <t xml:space="preserve">      CVU 30 dias mov</t>
  </si>
  <si>
    <r>
      <t xml:space="preserve">Unidades Anuales </t>
    </r>
    <r>
      <rPr>
        <b/>
        <sz val="11"/>
        <color theme="1"/>
        <rFont val="Calibri"/>
        <family val="2"/>
      </rPr>
      <t>VENDIDAS</t>
    </r>
    <r>
      <rPr>
        <b/>
        <sz val="11"/>
        <color theme="4"/>
        <rFont val="Calibri"/>
        <family val="2"/>
      </rPr>
      <t xml:space="preserve"> </t>
    </r>
  </si>
  <si>
    <t>Deprecracion Maq Nueva</t>
  </si>
  <si>
    <t>ingreso por ventas bs as 5to año</t>
  </si>
  <si>
    <t>ingreso por ventas formosa 5to año</t>
  </si>
  <si>
    <t>ventas 5to año.</t>
  </si>
  <si>
    <t>devolucion formosa 1%</t>
  </si>
  <si>
    <t xml:space="preserve">IIBB BS AS </t>
  </si>
  <si>
    <t>IIBB FORMOSA</t>
  </si>
  <si>
    <t>IIBB bs as</t>
  </si>
  <si>
    <t>"La empresa no proyecta utilidades para el primer año del proyecto"</t>
  </si>
  <si>
    <t>NOTA: lo ignoramos en Toda la gloria 2023.</t>
  </si>
  <si>
    <t xml:space="preserve"> ACA ESTA PRESTAMO AMERICANO OK</t>
  </si>
  <si>
    <t xml:space="preserve">AÑO 4 </t>
  </si>
  <si>
    <t>AÑO 5</t>
  </si>
  <si>
    <t>ACA SE PUEDE PONER EN EL AÑO 5 LA SUMA DE LOS 2 AÑOS RESTANTES Y EL AÑO CONTABLE 5. DA TODO EN NEGATIVO.</t>
  </si>
  <si>
    <t>ESTAS 3 CUOTAS DE CAPITAL SE PUEDEN PONER TODAS JUNTAS EN EL AÑO 5</t>
  </si>
  <si>
    <t>PRESTAMO FRANCES PORQUE DICE IGUALES CUOTAS CASI AL FINAL DEL ENUNCIADO</t>
  </si>
  <si>
    <t>INTERESES</t>
  </si>
  <si>
    <t>KD</t>
  </si>
  <si>
    <t>Da ok 19.24 chequeadisimoooo</t>
  </si>
  <si>
    <t>No hay apalancamiento financiero</t>
  </si>
  <si>
    <t>Tasa prestamo:66.41% y WACC es 19.24% (esto es tasa prestamo TEA vs Tasa de corte)</t>
  </si>
  <si>
    <t>inversion maqina nueva</t>
  </si>
  <si>
    <t>Venta Neta año 5</t>
  </si>
  <si>
    <t>Venta bruta - impuestos.</t>
  </si>
  <si>
    <t>descuento 5%</t>
  </si>
  <si>
    <t xml:space="preserve">dice considere iva 20% </t>
  </si>
  <si>
    <t>31 509</t>
  </si>
  <si>
    <t>NO VA IIGG seria ingreso neto. Nos interesa la venta neta SI VA los descuentos x frascos.</t>
  </si>
  <si>
    <t>Ahorro por  sueldo de gerente 
VA EN EL CT</t>
  </si>
  <si>
    <t xml:space="preserve">Precio </t>
  </si>
  <si>
    <t>NOTA DE ESTE EJ, NO USAMOS PERIODOS DE INFLACION
2023 60% 
2024 70% ETC…
CREEMOS QUE SE USA PARA VALOR FUTURO Y VALOR PRESENTE</t>
  </si>
  <si>
    <t xml:space="preserve">ES UN EGRESO NO AFECTO A IMPUESTOS </t>
  </si>
  <si>
    <t>EGRESO NO AFECTO A IMP</t>
  </si>
  <si>
    <t>AÑO CERO FLUJO ES SOLO LA PARTE DE ABAJO
SUMAR DESDE FILA142 HASTA 152.</t>
  </si>
  <si>
    <t>asumimos valor residual como valor de venta en lugar de valor libro</t>
  </si>
  <si>
    <t>inversion con instalacion</t>
  </si>
  <si>
    <t>Ingreso por reventa inversion inicial</t>
  </si>
  <si>
    <t>x 1kg</t>
  </si>
  <si>
    <t>pigmentos de color</t>
  </si>
  <si>
    <t>x 1 litro</t>
  </si>
  <si>
    <t>x 1 kg</t>
  </si>
  <si>
    <t>VAMOS A NECESITAR</t>
  </si>
  <si>
    <t>Barniz pol</t>
  </si>
  <si>
    <t>caja</t>
  </si>
  <si>
    <t>LA GLORIA CVU DE PRODUCCION</t>
  </si>
  <si>
    <t xml:space="preserve">GASTO FIJO </t>
  </si>
  <si>
    <t>varios</t>
  </si>
  <si>
    <t>IIBB 1,5%</t>
  </si>
  <si>
    <t>PRECIO VENTA CASAS CONSTR</t>
  </si>
  <si>
    <t>PRECIO VENTA CANAL SUPERM</t>
  </si>
  <si>
    <t>GASTO 12% ADICIONAL</t>
  </si>
  <si>
    <t>1 SUP</t>
  </si>
  <si>
    <t>4 OPERARIOS</t>
  </si>
  <si>
    <t>Costos Variables / de produccion / directos</t>
  </si>
  <si>
    <t xml:space="preserve">    Costo de produccion unitario (CVU)</t>
  </si>
  <si>
    <t>Esto esta sacado del ejercicio rec 2do c 2022 "solo 3 puntos"</t>
  </si>
  <si>
    <t>ingresos por ventas casas constr 0.9 y 65%</t>
  </si>
  <si>
    <t>ingreso por ventas canal superm 0.95 35%</t>
  </si>
  <si>
    <t>primer año</t>
  </si>
  <si>
    <t>VA EN CT NO EN WACC.</t>
  </si>
  <si>
    <t>provoca una desinversion del 10%</t>
  </si>
  <si>
    <t>por 90% porq se desinvierte un 10% por la compra de la nueva</t>
  </si>
  <si>
    <t>Depreciacion inversión linea prod 90%</t>
  </si>
  <si>
    <t>Depreciacion inversión linea prod 10%</t>
  </si>
  <si>
    <t>Depreciacion inversión linea Nueva</t>
  </si>
  <si>
    <t>VL inversión linea Nueva</t>
  </si>
  <si>
    <t>Valor libro 10%</t>
  </si>
  <si>
    <t xml:space="preserve">seria </t>
  </si>
  <si>
    <t>siendo 0.1144 la tasa de corte</t>
  </si>
  <si>
    <t>30 es el 30% de valor residual</t>
  </si>
  <si>
    <t>En otro resuelto pusieron que en el año 5 se vende la reinversion</t>
  </si>
  <si>
    <t>Ingreso por reventa inversion 100k</t>
  </si>
  <si>
    <t>Nosotros no lo consideramos porque no dice que se venda en el año 5 la reinversion</t>
  </si>
  <si>
    <t>NOTA EPIFANICA 
"LA INFLACION NO SE TIENE EN CUENTA EN NINGUN FF"</t>
  </si>
  <si>
    <t>IIGG 15% MODIFCAR ACA Y EN EL FF E141</t>
  </si>
  <si>
    <t>Precio 1</t>
  </si>
  <si>
    <t>Precio 2</t>
  </si>
  <si>
    <t>venta1 contado</t>
  </si>
  <si>
    <t>venta1 30 días</t>
  </si>
  <si>
    <t>venta1 60 dias</t>
  </si>
  <si>
    <t>venta2 contado</t>
  </si>
  <si>
    <t>venta2 30 días</t>
  </si>
  <si>
    <t>venta2 60 dias</t>
  </si>
  <si>
    <r>
      <t xml:space="preserve">Unidades Anuales </t>
    </r>
    <r>
      <rPr>
        <b/>
        <sz val="11"/>
        <color theme="1"/>
        <rFont val="Calibri"/>
        <family val="2"/>
      </rPr>
      <t>VENDIDAS</t>
    </r>
    <r>
      <rPr>
        <b/>
        <sz val="11"/>
        <color theme="4"/>
        <rFont val="Calibri"/>
        <family val="2"/>
      </rPr>
      <t xml:space="preserve">  1</t>
    </r>
  </si>
  <si>
    <r>
      <t xml:space="preserve">Unidades Anuales </t>
    </r>
    <r>
      <rPr>
        <b/>
        <sz val="11"/>
        <color theme="1"/>
        <rFont val="Calibri"/>
        <family val="2"/>
      </rPr>
      <t>VENDIDAS</t>
    </r>
    <r>
      <rPr>
        <b/>
        <sz val="11"/>
        <color theme="4"/>
        <rFont val="Calibri"/>
        <family val="2"/>
      </rPr>
      <t xml:space="preserve">  2</t>
    </r>
  </si>
  <si>
    <t>Esto da la venta del 1er año :D</t>
  </si>
  <si>
    <t>(Verificacion)</t>
  </si>
  <si>
    <t xml:space="preserve">      CVU FINAL 30 dias </t>
  </si>
  <si>
    <t>Sueldos Operarios</t>
  </si>
  <si>
    <t>Sueldos Supervisor</t>
  </si>
  <si>
    <t>seguros</t>
  </si>
  <si>
    <t>agua y fem</t>
  </si>
  <si>
    <t>stock 12%</t>
  </si>
  <si>
    <t>año 0</t>
  </si>
  <si>
    <t>año 1</t>
  </si>
  <si>
    <t>año 2</t>
  </si>
  <si>
    <t>año 3</t>
  </si>
  <si>
    <t>año 4</t>
  </si>
  <si>
    <t>aca se calcula para el año 6, imposible que haya valor</t>
  </si>
  <si>
    <t xml:space="preserve">FF ACCIONISTAS </t>
  </si>
  <si>
    <t>VAN PURO SIN PREST</t>
  </si>
  <si>
    <t>PUNTO 1 
VAN DE LOS ACCIONISTAS (CON PRESTAMO) 
1.412.900
ME DA MAYOR A VAN PURO
1.412.600
TIENE SENTIDO PORQUE LA TAZA DEL PRESTAMO ES MENOR A LA TAZA DE CORTE HAY APALANCAMIENTO FINANCIERO</t>
  </si>
  <si>
    <t>PTO 3 , REVISO EN CHOCLO</t>
  </si>
  <si>
    <t>sumo al viejo ke un 4%</t>
  </si>
  <si>
    <t>EL NUEVO WACC ES DE 15.89%</t>
  </si>
  <si>
    <t>Podria mejorarse esto pidiendo o considerando en el prestamo una parte del capital de trabajo? Habria que hacer la prueba en otro fondo.</t>
  </si>
  <si>
    <t>Aunque me parece que la pregunta apunta a las deudas anteriores tomadas</t>
  </si>
  <si>
    <t>El monto tomado es ascendete, y la ultima tasa es mayor a la anterior, es decir se podria decir que las tasas son descentes pero la ultima rompe eso.</t>
  </si>
  <si>
    <t>tasa</t>
  </si>
  <si>
    <t>PTO3 
A simple vista, se puede observar que el prestamo es solo una parte de la inversion inicial, y no es ni el 10% del monto pedido en CT.</t>
  </si>
  <si>
    <t xml:space="preserve">PUNTO 2
COMO SUBE LA TAZA DE CORTE EL ACCIONISTA QUIERE TENER MENOS RIESGO Y POR LO TANTO EL VAN BAJA
SI EL WACC SUBE EL VAN BAJA.
EL WACC ES LA TASA DE CORTE. UNA TASA MAS ALTA QUIERO ESTAR MAS SEGURO DE LO Q YO ESTOY HACIENDO O SEA Q OBTENGO MENOS GANANCIA. </t>
  </si>
  <si>
    <t>COMO HAY APALNCAMIENTO FINANCIERO SE LA PODRIA 
JUGAR UN POCO MAS Y PEDIR MAS PRESTAMO TOTAL LUEGO SE PODRIA CUBRIR ESE PRESTAMO SIN PROBLEMAS</t>
  </si>
  <si>
    <t>240k</t>
  </si>
  <si>
    <t>GASTOS fijo licencia</t>
  </si>
  <si>
    <t>15 a 19 años</t>
  </si>
  <si>
    <t>nube</t>
  </si>
  <si>
    <t>incremento en gasto:</t>
  </si>
  <si>
    <t>precio venta en las tiendas</t>
  </si>
  <si>
    <t>precio venta publico</t>
  </si>
  <si>
    <t>70% de ventas ingresan a 60 das</t>
  </si>
  <si>
    <t>30% a 30 dias.</t>
  </si>
  <si>
    <t>Caja plastica</t>
  </si>
  <si>
    <t>elementos electr</t>
  </si>
  <si>
    <t>circuitos</t>
  </si>
  <si>
    <t>sw kit</t>
  </si>
  <si>
    <t>CVU</t>
  </si>
  <si>
    <t>gasto produccion</t>
  </si>
  <si>
    <t>según el share:</t>
  </si>
  <si>
    <t>15-19</t>
  </si>
  <si>
    <t>el capital total 
abonado mes a mes es :</t>
  </si>
  <si>
    <t>CAPITAL ABONADO 
MES A MES</t>
  </si>
  <si>
    <t>NO INCREMENTA-&gt; SE PUEDE 
TOMAR CUALQIER METODO , FRANCES O ALEMAN</t>
  </si>
  <si>
    <t>Asi lo pague el 31 de dic, es el 1er año.</t>
  </si>
  <si>
    <t>SINO LO SACAMOS POR PORCENTAJE</t>
  </si>
  <si>
    <t>asumimos que el estudio de perfil no es abarcativo del proyecto</t>
  </si>
  <si>
    <t>C1 C2</t>
  </si>
  <si>
    <t>NO PONGO LOS 2000 gasto actual</t>
  </si>
  <si>
    <t>NO INTERESA</t>
  </si>
  <si>
    <t>nuevo gasto:</t>
  </si>
  <si>
    <t>AHORRO ULTIMO AÑO EMPLEADO</t>
  </si>
  <si>
    <t>SUELDOS 2 OP NUEVOS</t>
  </si>
  <si>
    <t>SUELDOS 1 OP NUEVO</t>
  </si>
  <si>
    <t>indemniz</t>
  </si>
  <si>
    <t>asumimos que el empleado NO TRABAJA el año 5. 
porque nos ahorramos todo su sueldo en el año 5. En el año 4 le pagamos la indeminzacion.</t>
  </si>
  <si>
    <t>inversion deposito</t>
  </si>
  <si>
    <t>inversion maqinaria</t>
  </si>
  <si>
    <t>inversion sw</t>
  </si>
  <si>
    <t>Depreciacion inversión 2</t>
  </si>
  <si>
    <t>Depreciacion inversión 3</t>
  </si>
  <si>
    <t>ingreso por reventa 1</t>
  </si>
  <si>
    <t xml:space="preserve">Ingreso por reventa 2 </t>
  </si>
  <si>
    <t>ingreso por reventa 3</t>
  </si>
  <si>
    <t>Krp pais</t>
  </si>
  <si>
    <t>1900ptos</t>
  </si>
  <si>
    <t>IIBB 1.8%</t>
  </si>
  <si>
    <t>PRIMA DE RIESGO</t>
  </si>
  <si>
    <t>B(Krm-Krf)=11%</t>
  </si>
  <si>
    <t>1.45 sale de la tablita de beta</t>
  </si>
  <si>
    <t>Unidades producidas VENDIDAS</t>
  </si>
  <si>
    <t>Unidades sobrantes</t>
  </si>
  <si>
    <t>ingreso por ventas de exp</t>
  </si>
  <si>
    <t>asumimos IIGG 35%</t>
  </si>
  <si>
    <t>PROYECTO:</t>
  </si>
  <si>
    <t>Pisos</t>
  </si>
  <si>
    <t>ESCENARIO:</t>
  </si>
  <si>
    <t xml:space="preserve">Capital de Trabajo </t>
  </si>
  <si>
    <t>30 d</t>
  </si>
  <si>
    <t>60d</t>
  </si>
  <si>
    <t>90d</t>
  </si>
  <si>
    <t>Unidades</t>
  </si>
  <si>
    <t>Venta Neta (ya desconto IIBB y Comisiones)</t>
  </si>
  <si>
    <t>venta 70 días</t>
  </si>
  <si>
    <t>CostosVariable</t>
  </si>
  <si>
    <t>Costo MOD</t>
  </si>
  <si>
    <t>Costos Fijos</t>
  </si>
  <si>
    <t>Sueldo variable Vendedores</t>
  </si>
  <si>
    <t>Mes</t>
  </si>
  <si>
    <t>Costos Variable</t>
  </si>
  <si>
    <t>sueldos 3 op</t>
  </si>
  <si>
    <t>suponemos que en el año 2 las 50k unidades extra las vendemos en partes iguales mes a mes</t>
  </si>
  <si>
    <t>CONSIDERAMOS QUE ESTAMOS PRODUCIENDO POR DEMAS, ASI QUE NO HABRA CT EN AÑOS POSTERIORES.</t>
  </si>
  <si>
    <t>SE LE SUMA EL KRPAIS</t>
  </si>
  <si>
    <t>1 EL IVA NO AFECTA A LAS INVERSIONES PORQUE NO LO CONSIDERAMOS EN EL FF</t>
  </si>
  <si>
    <t>2 CALCULADO.</t>
  </si>
  <si>
    <t>SUPUESTO LAS ULTIMAS 2 CUOTAS DEL PRESTAMO NO SE CONSIDERAN EN EL PROYECTO POR SER CUOTA AÑO 6 Y AÑO DE GRACIA</t>
  </si>
  <si>
    <t>3 CALCULADO , CICLO OPERATIVO NO SABEMOS</t>
  </si>
  <si>
    <t>5 KD =0 POR NO PRESENTAR ESTRUCUTRA DE DEUDAS</t>
  </si>
  <si>
    <t>SUELDOS 2 OP NUEVOS + 70%</t>
  </si>
  <si>
    <t>SUELDOS 1 OP NUEVO + 70%</t>
  </si>
  <si>
    <t>4 LAS MODIF ESTAN EN AMARILLO CHICAS. CONVIENE TENER 1 MAQ, (VER PRESTAMO Y CAPITAL DE TRABAJO) Y 70% MAS DE MANO DE OBRA</t>
  </si>
  <si>
    <t>4 HECHO EN PESTAÑA SIGUIENTE VER CT Y PRESTAMO</t>
  </si>
  <si>
    <t>5 OKI, YA LO CONSIDERAMOS ASI BRO</t>
  </si>
  <si>
    <t>6 KD =0 POR NO PRESENTAR ESTRUCUTRA DE DEUDAS ¿Qué CARAJO ES EL ANEXO?</t>
  </si>
  <si>
    <t>VA EL AÑO 0</t>
  </si>
  <si>
    <t>7 LISTO CALCULADO ABAJO</t>
  </si>
  <si>
    <t>GASTOS licencia</t>
  </si>
  <si>
    <t>28% del total de niños</t>
  </si>
  <si>
    <t>Unidades demandadas</t>
  </si>
  <si>
    <t>GASTO 5 % comisiones</t>
  </si>
  <si>
    <t>GASTO 10 % comisiones</t>
  </si>
  <si>
    <t>pack</t>
  </si>
  <si>
    <t>frasco prov ext</t>
  </si>
  <si>
    <t>jabon</t>
  </si>
  <si>
    <t>x 1 u</t>
  </si>
  <si>
    <t>fragancia</t>
  </si>
  <si>
    <t>gasto fabril anual</t>
  </si>
  <si>
    <t>costo de envio 50pe por U</t>
  </si>
  <si>
    <t>Unidades (toneladas)</t>
  </si>
  <si>
    <t>actualmente hay 10000 toneladas anuales</t>
  </si>
  <si>
    <t>Ingresos por ventas</t>
  </si>
  <si>
    <t>MAS 12% en 4 ANIOS</t>
  </si>
  <si>
    <t>Flujo de Fondos</t>
  </si>
  <si>
    <t>AÑO 4 VA A SER</t>
  </si>
  <si>
    <t>Ingresos Afectados a Impuestos</t>
  </si>
  <si>
    <t>Ingreso valor salvamento instalaciones</t>
  </si>
  <si>
    <t>Ingreso valor salvamento buque</t>
  </si>
  <si>
    <t>PRECIO</t>
  </si>
  <si>
    <t>Ingreso valor salvamento grúas</t>
  </si>
  <si>
    <t>Ingreso valor salvamento concesión</t>
  </si>
  <si>
    <t>Ingreso valor salvamento buque 4to año</t>
  </si>
  <si>
    <t>Ingreso valor salvamento 2 grúas 4to año</t>
  </si>
  <si>
    <t>Egresos Afectados a Impuestos</t>
  </si>
  <si>
    <t>Gastos administración</t>
  </si>
  <si>
    <t>Costos de Operación</t>
  </si>
  <si>
    <t>COSTO DE OPERACIÓN UNITARIO CALCULADO DEBAJO DE TODO EN PESTAÑA CT</t>
  </si>
  <si>
    <t>Gastos mantenimiento y reparación</t>
  </si>
  <si>
    <t>Costo publicidad</t>
  </si>
  <si>
    <t>Interes del Prestamo</t>
  </si>
  <si>
    <t>Gastos No Desembolsados</t>
  </si>
  <si>
    <t>Depreciación instalación</t>
  </si>
  <si>
    <t>Depreciación buque</t>
  </si>
  <si>
    <t>Depreciación 10 grúas</t>
  </si>
  <si>
    <t>Depreciación nueva ruta</t>
  </si>
  <si>
    <t>Depreciación buque 4to año</t>
  </si>
  <si>
    <t>Depreciación 2 grúas 4to año</t>
  </si>
  <si>
    <t>Valor libro buque 4to año</t>
  </si>
  <si>
    <t>Valor libro 2 grúas 4to año</t>
  </si>
  <si>
    <t>Utilidades antes de impuestos</t>
  </si>
  <si>
    <t>-Impuestos X%</t>
  </si>
  <si>
    <t>Utilidad Neta</t>
  </si>
  <si>
    <t>Ingresos No Afectados a Impuestos</t>
  </si>
  <si>
    <t>Recupero Capital de Trabajo</t>
  </si>
  <si>
    <t>Egresos No Afectados a Impuestos</t>
  </si>
  <si>
    <t>Instalación</t>
  </si>
  <si>
    <t>Inversion buque</t>
  </si>
  <si>
    <t>inversión 10 grúas</t>
  </si>
  <si>
    <t>inversión nueva ruta marítima</t>
  </si>
  <si>
    <t>Buque adicional 4to año</t>
  </si>
  <si>
    <t>2 grúas 4to año</t>
  </si>
  <si>
    <t>Campaña publicitaria</t>
  </si>
  <si>
    <t>SUPONGO QUE CUANDO DICE "LA EMPRESA DE PUBLICIDAD ENCARGADA DE LA CAMPAÑA ACEPTÓ RECIBIR SU PAGO AL TÉRMINO DE ELLA" SE REFIERE A QUE LA CAMPAÑA TERMINÓ ANTES DE INICIAR EL PROYECTO. LUEGO SE MANTIENE EL SERVICIO…</t>
  </si>
  <si>
    <t>Inversión empresa consultora</t>
  </si>
  <si>
    <t>Capital préstamo</t>
  </si>
  <si>
    <t>Ajustes Gs No Desembolsables</t>
  </si>
  <si>
    <t>Ajustes</t>
  </si>
  <si>
    <t>FLUJO DE CAJA</t>
  </si>
  <si>
    <t>VALOR PRESENTE</t>
  </si>
  <si>
    <t>VAN =</t>
  </si>
  <si>
    <t>Tasa de Corte =</t>
  </si>
  <si>
    <t>CALCULADO EN PESTAÑA TASA</t>
  </si>
  <si>
    <t>IR (En %)=</t>
  </si>
  <si>
    <t>ROI</t>
  </si>
  <si>
    <t>PRECIO SIN IVA</t>
  </si>
  <si>
    <t>nos gustan los precios sin IVA…</t>
  </si>
  <si>
    <t>OPCION 2</t>
  </si>
  <si>
    <t>SUPONGO CAPITALIZACION MENSUAL!!</t>
  </si>
  <si>
    <t>OPCION 1</t>
  </si>
  <si>
    <t>NUEVAS UNIDADES ANUALES FABRICADAS</t>
  </si>
  <si>
    <t>Unidades Anuales VENDIDAS</t>
  </si>
  <si>
    <t>cobro contado</t>
  </si>
  <si>
    <t>cobro 30 días</t>
  </si>
  <si>
    <t>cobro 90 días</t>
  </si>
  <si>
    <t>cobro 120 días</t>
  </si>
  <si>
    <t>Ahorro sueldos</t>
  </si>
  <si>
    <t xml:space="preserve">    Combustible</t>
  </si>
  <si>
    <t xml:space="preserve">     MOD</t>
  </si>
  <si>
    <t xml:space="preserve">     Costo impresión carton</t>
  </si>
  <si>
    <t xml:space="preserve">     IIBB</t>
  </si>
  <si>
    <t xml:space="preserve">      Mano de obra contado</t>
  </si>
  <si>
    <t xml:space="preserve">      Combustible 30 dias</t>
  </si>
  <si>
    <t xml:space="preserve">      CVU 60 dias</t>
  </si>
  <si>
    <t xml:space="preserve">    Administración</t>
  </si>
  <si>
    <t xml:space="preserve">    Mantenimiento y reparación</t>
  </si>
  <si>
    <t xml:space="preserve">    Publicidad</t>
  </si>
  <si>
    <t xml:space="preserve">    Servicios</t>
  </si>
  <si>
    <t xml:space="preserve">    Seguridad</t>
  </si>
  <si>
    <t>COSTO UNITARIO</t>
  </si>
  <si>
    <t>Ton/milla marina</t>
  </si>
  <si>
    <t>Precio total por traslado</t>
  </si>
  <si>
    <t>Combustible</t>
  </si>
  <si>
    <t>Mano de obra</t>
  </si>
  <si>
    <t>TASAS</t>
  </si>
  <si>
    <t>EQUITY Y DEUDA CON MONTOS</t>
  </si>
  <si>
    <t>PRIMA+Krf*RPaís=Ke</t>
  </si>
  <si>
    <t>kRf + β (kRm – kRf)  = Ke = CAPM</t>
  </si>
  <si>
    <t>X1,X2</t>
  </si>
  <si>
    <t>CALCULO KD</t>
  </si>
  <si>
    <t>DATOS. Con esto sacás la prima</t>
  </si>
  <si>
    <t>Tasa Libre de riesgo (Krf) = rf</t>
  </si>
  <si>
    <t>Activo</t>
  </si>
  <si>
    <t>Banco,Clientes , Inventario, ActivoFijo, Caja</t>
  </si>
  <si>
    <t>Riesgo Sistémico</t>
  </si>
  <si>
    <t>Proveedores, Deudas</t>
  </si>
  <si>
    <t>Porcentaje</t>
  </si>
  <si>
    <t xml:space="preserve">Riesgo Mercado(km) </t>
  </si>
  <si>
    <t>ResultadosAcum. + Capital</t>
  </si>
  <si>
    <t>PN / Activo</t>
  </si>
  <si>
    <t>riesgo pais tambien se suma…</t>
  </si>
  <si>
    <t>Pasivo / Activo</t>
  </si>
  <si>
    <t>IIGG</t>
  </si>
  <si>
    <t>Si no tengo deuda Kd=0</t>
  </si>
  <si>
    <t>Ponderado</t>
  </si>
  <si>
    <t>equity</t>
  </si>
  <si>
    <t>ROE = KE</t>
  </si>
  <si>
    <t>deuda</t>
  </si>
  <si>
    <t>UtilidadNeta/PatrimonioNeto</t>
  </si>
  <si>
    <t>Flujo de fondos el ultimo año</t>
  </si>
  <si>
    <t>SI LA EMPRESA COTIZA EN BOLSA</t>
  </si>
  <si>
    <t>SI LA EMPRESA NO COTIZA EN BOLSA</t>
  </si>
  <si>
    <t>SUPUESTO!! NO HABLA DE LA ESTRUCTURA DE DEUDA</t>
  </si>
  <si>
    <t>Calculo Tasa de Corte</t>
  </si>
  <si>
    <t>POR LO CUAL SI BIEN X2=0,4 EL KD=0</t>
  </si>
  <si>
    <t>Metodo Suma de riesgos</t>
  </si>
  <si>
    <t>Cuando tenemos Capital Propio = CAPM     y    cuando tenemos Capital propio + deuda = WACC</t>
  </si>
  <si>
    <t>Tasa Riesgo País</t>
  </si>
  <si>
    <t>Tasa riesgo Sector</t>
  </si>
  <si>
    <t>Beta mide: La cantidad de riesgo sistemático que se encuentra presente en un activo en particular, respecto de la que existe en un activo promedio.</t>
  </si>
  <si>
    <t>Tasa riesgo Empresa</t>
  </si>
  <si>
    <t>Riesgo sistematico o riesgo propio del mercado o riesgo no diversificable del sector  significa el oeficiente BETA</t>
  </si>
  <si>
    <t>KE = CAPM = Rf + β (Rm – Rf)  si cotiza en bolsa</t>
  </si>
  <si>
    <t>Tasa Desconocimiento Negocio</t>
  </si>
  <si>
    <t>Si no cotiza en bolsa, existe ROE=Ke = UtilidadNeta/patrimonioNeto</t>
  </si>
  <si>
    <t>Ke Tasa que los inversionista exigen = Costo de equity</t>
  </si>
  <si>
    <t>Existe Beta si cotiza en bolsa</t>
  </si>
  <si>
    <t>Tasa de corte =</t>
  </si>
  <si>
    <t>x2 =</t>
  </si>
  <si>
    <t>Si BETA &lt; 0  =&gt;  Tasa de descuentro menor a la del riesgo</t>
  </si>
  <si>
    <t>x1=</t>
  </si>
  <si>
    <t>Equity</t>
  </si>
  <si>
    <t>Equity + Deuda</t>
  </si>
  <si>
    <t>Equity=Patrimonio</t>
  </si>
  <si>
    <t>La empresa es NUEVA</t>
  </si>
  <si>
    <t>porcentaje de la deuda</t>
  </si>
  <si>
    <t xml:space="preserve">Activo= </t>
  </si>
  <si>
    <t>Ke* x1 + Kd *X2* (1-IIGG)</t>
  </si>
  <si>
    <t>Porcentaje del capital propio</t>
  </si>
  <si>
    <t>Riesgo= 0 entonces los flujos siempre parecidos y positivos</t>
  </si>
  <si>
    <t>kd: se toma la tasa TEA obtenida en los prestamos vigentes. Si existe mas de uno, se tomará un PONDERADO - Siempre a Tasa efectiva</t>
  </si>
  <si>
    <t>TASA CAMBIADA PARA PUNTO 5!!</t>
  </si>
  <si>
    <t>TEM a TEA</t>
  </si>
  <si>
    <t>TNA a TEA</t>
  </si>
  <si>
    <t>TEM</t>
  </si>
  <si>
    <t>m</t>
  </si>
  <si>
    <t>periodos capitalizacion</t>
  </si>
  <si>
    <t>periodos capitalizacion en un año (mensual=12, bimestral=6, etc)</t>
  </si>
  <si>
    <t>numero de periodos</t>
  </si>
  <si>
    <t>Calculo VP</t>
  </si>
  <si>
    <t>VF =</t>
  </si>
  <si>
    <t>i =</t>
  </si>
  <si>
    <t>VP =</t>
  </si>
  <si>
    <t>VALOR INICIAL DEL PRESTAMO</t>
  </si>
  <si>
    <t>SUPONGO CAPITALIZACIONES MENSUALES!!</t>
  </si>
  <si>
    <t>n = meses</t>
  </si>
  <si>
    <t>i = tasa de interés anual</t>
  </si>
  <si>
    <t>Calcular Valor Futuro</t>
  </si>
  <si>
    <t>VP</t>
  </si>
  <si>
    <t>VF</t>
  </si>
  <si>
    <t>SI LA EMPRESA PROYECTA PERDIDAS PARA EL AÑO n --&gt; ESE AÑO NO SE CALCULA IMPUESTO A LAS GANANCIAS</t>
  </si>
  <si>
    <t>prod maxima</t>
  </si>
  <si>
    <t>precio de venta</t>
  </si>
  <si>
    <t>u vendidas año 1</t>
  </si>
  <si>
    <t>sueldos a pagar por el proyecto</t>
  </si>
  <si>
    <t>costo unitario</t>
  </si>
  <si>
    <t>u vendidas año 2</t>
  </si>
  <si>
    <t>tasa cargas sociales</t>
  </si>
  <si>
    <t>venta año 1</t>
  </si>
  <si>
    <t>u vendidas año 3</t>
  </si>
  <si>
    <t>gastos administrativos</t>
  </si>
  <si>
    <t>incremento a 2</t>
  </si>
  <si>
    <t>u vendidas año 4</t>
  </si>
  <si>
    <t>sueldos por año + aguinaldo</t>
  </si>
  <si>
    <t>incremento a 3</t>
  </si>
  <si>
    <t>u vendidas año 5</t>
  </si>
  <si>
    <t>incremento a 4</t>
  </si>
  <si>
    <t>PREGUNTAS SOBRE EL PROYECTO</t>
  </si>
  <si>
    <t>1. VAN, TIR E IR calculados en las páginas. Ambas son opciones viables porque dan resultados positivos para la emnpresa</t>
  </si>
  <si>
    <t>2. Recomiendo la segunda opción de financiamiento porque tiene un mayor VAN</t>
  </si>
  <si>
    <t>4. Determinado en pestaña CT</t>
  </si>
  <si>
    <t>5. La segunda opción de financiamiento sigue siendo mejor. Sin embargo, disminuye el VAN, por lo que resulta un poco menos rentable el proyecto (Calculada nueva tasa debajo de todo en pestaña Tasa)</t>
  </si>
  <si>
    <t>SOBRE LAS OTRAS PREGUNTAS</t>
  </si>
  <si>
    <t>1. Si el VAN es negativo, se explicaría que el proyecto no es rentable porque genera pérdidas</t>
  </si>
  <si>
    <t>2. Como el VAN es positivo, el proyecto es rentable y debería tomarse. Sin embargo, debería tomarse en cuenta todo un contexto mayor…</t>
  </si>
  <si>
    <t>3. a. TIR 90% y WACC 110% quiere decir que el proyecto no es rentable</t>
  </si>
  <si>
    <t>3. b. TIR 80% y WACC 80% quiere decir que es indistinto tomar el proyecto o no</t>
  </si>
  <si>
    <t>3. c. TIR 120% y WACC 70% quiere decir que el proyecto es rentable</t>
  </si>
  <si>
    <t>4. Objetivos principales del estudio de mercado: Proveer un panorama para contar con datos más específicos para el estudio de factibilidad del proyecto (Demanda, precios, competencias, etc)</t>
  </si>
  <si>
    <t>5. Elasticidad de la demanda quiere decir qué tan dispuestos están los clientes para comprar productos que hacemos. Elasticidad negativa indica crecimiento de la demanda. Elasticidad positiva, lo contrario</t>
  </si>
  <si>
    <t>saco -5000 de estudio de factibilidad</t>
  </si>
  <si>
    <t>3. Calculado en hoja aparte. Precio equilibrio año 1 = 627$</t>
  </si>
  <si>
    <t>ESTA CALCULADO MAL EL PRESTAMO.</t>
  </si>
  <si>
    <t>UTILIZO PRIMA POR RIESGO.</t>
  </si>
  <si>
    <t>"El estudio tecnico señalo que para efectuar el proyecto se debe incurrir en la ssiguietnes inverciones adicionale"</t>
  </si>
  <si>
    <t xml:space="preserve">Significa q si o si vas a tener que invertir en las cosas que dice sin importar q tengas 40 buques y 35 gruas de antes. Nos chupa un huevo eso. Inverits eso q dice ahi + en 100k usd de publicidad. Esto ultimo lo suponemos. </t>
  </si>
  <si>
    <t xml:space="preserve">Contrato de concepcion con el estado por 120kUSD mensuales, no nos importa porque abajo dice que adquirimos una nueva concepcion. Estos 120k usd quedan afuera de nuestro analisis </t>
  </si>
  <si>
    <t>200k usd y 250k usd se pagaban hasta antes de hacer esta evaluacion de proyecto, ahora simplemente vamos a pagar un 30% de eso y un 40%, por eso en los gastos fijos solo menos un 30% y un 40% de estos valores. Lo dice mas adelante.</t>
  </si>
  <si>
    <t>Calculo de capital inicial</t>
  </si>
  <si>
    <t>Capital inicial</t>
  </si>
  <si>
    <t>Capital luego de primera inv</t>
  </si>
  <si>
    <t>Capital luego de segunda inv</t>
  </si>
  <si>
    <t>Intereses ganados</t>
  </si>
  <si>
    <t>C(210)=C*(1+(0.15*(210/360))</t>
  </si>
  <si>
    <t>Capital a 210 dias con capitalizacion simple</t>
  </si>
  <si>
    <t>I(210,360) = C(210)*0.18*150/360</t>
  </si>
  <si>
    <t>Interes simple = Cn=C0(1+ixn)</t>
  </si>
  <si>
    <t>interes (I)=i x n</t>
  </si>
  <si>
    <t>I(210,360)= 281247.89</t>
  </si>
  <si>
    <t>281247.89=C*</t>
  </si>
  <si>
    <t>Ese es el monto del prestamo</t>
  </si>
  <si>
    <r>
      <rPr>
        <sz val="10"/>
        <color rgb="FF00B050"/>
        <rFont val="Arial"/>
        <family val="2"/>
      </rPr>
      <t>281247.89=C*</t>
    </r>
    <r>
      <rPr>
        <sz val="10"/>
        <color theme="4" tint="-0.249977111117893"/>
        <rFont val="Arial"/>
        <family val="2"/>
      </rPr>
      <t>(1+0.15*210/360)</t>
    </r>
    <r>
      <rPr>
        <sz val="10"/>
        <color rgb="FF000000"/>
        <rFont val="Arial"/>
        <family val="2"/>
      </rPr>
      <t>*</t>
    </r>
    <r>
      <rPr>
        <sz val="10"/>
        <color theme="5" tint="-0.249977111117893"/>
        <rFont val="Arial"/>
        <family val="2"/>
      </rPr>
      <t>0.18*150/360</t>
    </r>
  </si>
  <si>
    <t>281247.89=C*1.0875*0.075</t>
  </si>
  <si>
    <t>La empresa coloco un capital inicial durante 210 dias a una tasa del 15% nominal anual…..</t>
  </si>
  <si>
    <t>C(210 dias) = C(inicial) * (1+ 0.15 * 210/360)</t>
  </si>
  <si>
    <t>vencido dicho plazo el monto obtenido es invertido al 18% nominal anual durante 150 dias mas.</t>
  </si>
  <si>
    <t>obteniendo 281247,889</t>
  </si>
  <si>
    <t>I(final) = C(210 dias) * 0.18*150/360</t>
  </si>
  <si>
    <t>I(final)= 281247</t>
  </si>
  <si>
    <t>Saco C(210 dias)</t>
  </si>
  <si>
    <t>Saco C(inicial)</t>
  </si>
  <si>
    <t>va a mano harcodeado</t>
  </si>
  <si>
    <t>SE TOMA VALOR ABSOLUTO DICHO POR PROFE ARIEL</t>
  </si>
  <si>
    <t>Falta en el pto 3 el 5% sobre 30%</t>
  </si>
  <si>
    <t>Conviene la maquina vieja
VAN MAQ V 75.186.705 &gt;VAN MAQ N 74.039.059</t>
  </si>
  <si>
    <t>EL AHORRO DEL SUELDO NO VA EN CT Dicho por ariel profe.</t>
  </si>
  <si>
    <t>VERIFICACION IMPORTANTE DE ELASTICIDAD DEL EJERCICIO PARA COMPROBAR Q HICIMOS LAS COSAS BIEN:</t>
  </si>
  <si>
    <t>((633-600)/600)/((213.75-225)/225)</t>
  </si>
  <si>
    <t>TOMAR VALOR ABSOLUTO:</t>
  </si>
  <si>
    <t>HAY QUE TRAER A VALOR PRESENTE LA VENTA DE LA INVERSION 3 EN EL QUINTO AÑO DE USO.
IGUAL CREO Q ESTA OK ASI. SINO IRIA 25442.70</t>
  </si>
  <si>
    <t>Grandoso incluyo la MOD en el costo total y la MOD era a 30 dias.ta mal. Mirar el "todos re hechos " El capital de trabajo bien hecho según yo (Diesel del foro) es:</t>
  </si>
  <si>
    <t>VERIFICO 
ELASTICIDAD 
EN TODOS LOS CASOS</t>
  </si>
  <si>
    <t>NOTAAAAAAAAAAAAAAAA</t>
  </si>
  <si>
    <t>COMO APRENDI LO QUE ES LA ELASTICIDAD TARDE: LO CORREGI Y ESTA CORRECTO ACA PERO NO LO MODIFIQUE EN EL FF. TENIENDO EN CUENTA LO DE 0.8 Y 1.1 DE LOS OTROS EXAMENES (CHANCALIGHT Y BEBIDAS ENERGIZANTES)
ACA CIERRA TODO QUE SEA ASI COMO LO DETALLE EN K68</t>
  </si>
  <si>
    <t>VER DE MI PLANTILLA JAJA TODOS RESUELTOS.</t>
  </si>
  <si>
    <t xml:space="preserve">NO SE SI ESTA OK ESTA RESPUESTA </t>
  </si>
  <si>
    <t>WACC (con prima de riesgo)</t>
  </si>
  <si>
    <t>Kd (costo de la deuda, TEA del préstamo)</t>
  </si>
  <si>
    <t>t (tasa de impuesto a las ganancias)</t>
  </si>
  <si>
    <t>De TNA a TEA</t>
  </si>
  <si>
    <t>Krf (tasa libre de riesgo)</t>
  </si>
  <si>
    <t>Beta (cantidad del riesgo)</t>
  </si>
  <si>
    <t>Prima de riesgo</t>
  </si>
  <si>
    <t>t (días)</t>
  </si>
  <si>
    <t>X1 (capital / equity)</t>
  </si>
  <si>
    <t>ut</t>
  </si>
  <si>
    <t>X2 (deuda)</t>
  </si>
  <si>
    <t>(Krf + beta (Prima de riesgo)) * X1 + Kd * (1-t) * X2</t>
  </si>
  <si>
    <t xml:space="preserve"> POR LAS DUDAS ABAJO DEJO UN RESUELTO CON NOTA 8 QUE SACO EL WACC SIN USAR RIESGO PAIS</t>
  </si>
  <si>
    <t>RESUELTO NOTA 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</si>
</sst>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0.00_);[Red]\(&quot;$&quot;#,##0.00\)"/>
    <numFmt numFmtId="44" formatCode="_(&quot;$&quot;* #,##0.00_);_(&quot;$&quot;* \(#,##0.00\);_(&quot;$&quot;* &quot;-&quot;??_);_(@_)"/>
    <numFmt numFmtId="43" formatCode="_(* #,##0.00_);_(* \(#,##0.00\);_(* &quot;-&quot;??_);_(@_)"/>
    <numFmt numFmtId="164" formatCode="#,##0.00\ [$€-1]"/>
    <numFmt numFmtId="165" formatCode="#,##0\ [$€-1]"/>
    <numFmt numFmtId="166" formatCode="0.0%"/>
    <numFmt numFmtId="167" formatCode="0.000%"/>
    <numFmt numFmtId="168" formatCode="&quot;$&quot;\ #,##0.00"/>
    <numFmt numFmtId="169" formatCode="#,##0.00_-\ [$€-1]"/>
    <numFmt numFmtId="170" formatCode="0.000"/>
    <numFmt numFmtId="171" formatCode="0.0000%"/>
    <numFmt numFmtId="172" formatCode="[$ $]#,##0.00"/>
    <numFmt numFmtId="173" formatCode="[$ $]#,##0"/>
    <numFmt numFmtId="174" formatCode="#,##0.00;\(#,##0.00\)"/>
    <numFmt numFmtId="175" formatCode="0.0000"/>
    <numFmt numFmtId="176" formatCode="#,##0.0000;\(#,##0.0000\)"/>
    <numFmt numFmtId="177" formatCode="_-&quot;$&quot;\ * #,##0.00_-;\-&quot;$&quot;\ * #,##0.00_-;_-&quot;$&quot;\ * &quot;-&quot;??_-;_-@_-"/>
    <numFmt numFmtId="178" formatCode="&quot;$&quot;#,##0.00"/>
    <numFmt numFmtId="179" formatCode="_(&quot;$&quot;* #,##0_);_(&quot;$&quot;* \(#,##0\);_(&quot;$&quot;* &quot;-&quot;??_);_(@_)"/>
    <numFmt numFmtId="180" formatCode="_ &quot;$&quot;\ * #,##0_ ;_ &quot;$&quot;\ * \-#,##0_ ;_ &quot;$&quot;\ * &quot;-&quot;??_ ;_ @_ "/>
    <numFmt numFmtId="181" formatCode="&quot;$&quot;\ #,##0;[Red]&quot;$&quot;\ \-#,##0"/>
    <numFmt numFmtId="182" formatCode="_(&quot;$&quot;* #,##0.000_);_(&quot;$&quot;* \(#,##0.000\);_(&quot;$&quot;* &quot;-&quot;??_);_(@_)"/>
    <numFmt numFmtId="183" formatCode="_ * #,##0_ ;_ * \-#,##0_ ;_ * &quot;-&quot;??_ ;_ @_ "/>
    <numFmt numFmtId="184" formatCode="_([$$-409]* #,##0.00_);_([$$-409]* \(#,##0.00\);_([$$-409]* &quot;-&quot;??_);_(@_)"/>
    <numFmt numFmtId="185" formatCode="#,##0.000;\(#,##0.000\)"/>
    <numFmt numFmtId="186" formatCode="&quot;$&quot;\ #,##0.00;[Red]\-&quot;$&quot;\ #,##0.00"/>
    <numFmt numFmtId="187" formatCode="_-&quot;$&quot;\ * #,##0.000_-;\-&quot;$&quot;\ * #,##0.000_-;_-&quot;$&quot;\ * &quot;-&quot;??_-;_-@_-"/>
    <numFmt numFmtId="188" formatCode="&quot;$&quot;\ #,##0;[Red]\-&quot;$&quot;\ #,##0"/>
    <numFmt numFmtId="189" formatCode="_ &quot;$&quot;\ * #,##0.00_ ;_ &quot;$&quot;\ * \-#,##0.00_ ;_ &quot;$&quot;\ * &quot;-&quot;??_ ;_ @_ "/>
  </numFmts>
  <fonts count="130">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0"/>
      <color theme="1"/>
      <name val="Arial"/>
      <family val="2"/>
    </font>
    <font>
      <sz val="10"/>
      <color theme="1"/>
      <name val="Arial"/>
      <family val="2"/>
    </font>
    <font>
      <sz val="10"/>
      <color rgb="FF000000"/>
      <name val="Arial"/>
      <family val="2"/>
    </font>
    <font>
      <sz val="10"/>
      <color rgb="FFFFFFFF"/>
      <name val="Arial"/>
      <family val="2"/>
    </font>
    <font>
      <b/>
      <sz val="10"/>
      <color rgb="FFFFFFFF"/>
      <name val="Arial"/>
      <family val="2"/>
    </font>
    <font>
      <sz val="10"/>
      <name val="Arial"/>
      <family val="2"/>
    </font>
    <font>
      <i/>
      <sz val="10"/>
      <color theme="1"/>
      <name val="Arial"/>
      <family val="2"/>
    </font>
    <font>
      <b/>
      <i/>
      <sz val="11"/>
      <color theme="1"/>
      <name val="Arial"/>
      <family val="2"/>
    </font>
    <font>
      <b/>
      <i/>
      <sz val="11"/>
      <color rgb="FFFFFFFF"/>
      <name val="Arial"/>
      <family val="2"/>
    </font>
    <font>
      <b/>
      <i/>
      <sz val="11"/>
      <color rgb="FF000000"/>
      <name val="Arial"/>
      <family val="2"/>
    </font>
    <font>
      <b/>
      <i/>
      <sz val="11"/>
      <color rgb="FF000000"/>
      <name val="Calibri"/>
      <family val="2"/>
    </font>
    <font>
      <sz val="11"/>
      <color rgb="FF000000"/>
      <name val="Calibri"/>
      <family val="2"/>
    </font>
    <font>
      <b/>
      <sz val="11"/>
      <color rgb="FF000000"/>
      <name val="Calibri"/>
      <family val="2"/>
    </font>
    <font>
      <b/>
      <sz val="11"/>
      <color rgb="FF000000"/>
      <name val="Inconsolata"/>
    </font>
    <font>
      <sz val="11"/>
      <color rgb="FF1155CC"/>
      <name val="Inconsolata"/>
    </font>
    <font>
      <sz val="11"/>
      <color theme="1"/>
      <name val="Arial"/>
      <family val="2"/>
    </font>
    <font>
      <b/>
      <i/>
      <sz val="10"/>
      <color theme="1"/>
      <name val="Arial"/>
      <family val="2"/>
    </font>
    <font>
      <b/>
      <sz val="10"/>
      <color rgb="FF000000"/>
      <name val="Arial"/>
      <family val="2"/>
    </font>
    <font>
      <sz val="10"/>
      <color rgb="FF000000"/>
      <name val="Arial"/>
      <family val="2"/>
    </font>
    <font>
      <sz val="10"/>
      <color theme="1"/>
      <name val="Arial"/>
      <family val="2"/>
    </font>
    <font>
      <i/>
      <sz val="10"/>
      <color rgb="FF000000"/>
      <name val="Arial"/>
      <family val="2"/>
    </font>
    <font>
      <b/>
      <sz val="10"/>
      <color theme="1"/>
      <name val="Arial"/>
      <family val="2"/>
    </font>
    <font>
      <sz val="10"/>
      <color theme="6" tint="0.39997558519241921"/>
      <name val="Arial"/>
      <family val="2"/>
    </font>
    <font>
      <sz val="9"/>
      <color indexed="81"/>
      <name val="Tahoma"/>
      <family val="2"/>
    </font>
    <font>
      <b/>
      <sz val="9"/>
      <color indexed="81"/>
      <name val="Tahoma"/>
      <family val="2"/>
    </font>
    <font>
      <sz val="11"/>
      <color rgb="FF2A2513"/>
      <name val="Palatino Linotype"/>
      <family val="1"/>
    </font>
    <font>
      <sz val="10"/>
      <color rgb="FF000000"/>
      <name val="Arial"/>
      <family val="2"/>
    </font>
    <font>
      <sz val="11"/>
      <color rgb="FF006100"/>
      <name val="Arial"/>
      <family val="2"/>
      <scheme val="minor"/>
    </font>
    <font>
      <sz val="11"/>
      <color rgb="FF9C0006"/>
      <name val="Arial"/>
      <family val="2"/>
      <scheme val="minor"/>
    </font>
    <font>
      <sz val="11"/>
      <color rgb="FF3F3F76"/>
      <name val="Arial"/>
      <family val="2"/>
      <scheme val="minor"/>
    </font>
    <font>
      <b/>
      <sz val="11"/>
      <color rgb="FFFA7D00"/>
      <name val="Arial"/>
      <family val="2"/>
      <scheme val="minor"/>
    </font>
    <font>
      <b/>
      <sz val="11"/>
      <color theme="0"/>
      <name val="Arial"/>
      <family val="2"/>
      <scheme val="minor"/>
    </font>
    <font>
      <b/>
      <sz val="11"/>
      <color theme="1"/>
      <name val="Arial"/>
      <family val="2"/>
      <scheme val="minor"/>
    </font>
    <font>
      <sz val="11"/>
      <name val="Arial"/>
      <family val="2"/>
      <scheme val="minor"/>
    </font>
    <font>
      <b/>
      <sz val="10"/>
      <name val="Arial"/>
      <family val="2"/>
    </font>
    <font>
      <b/>
      <sz val="10"/>
      <color theme="1"/>
      <name val="Arial"/>
      <family val="2"/>
      <scheme val="minor"/>
    </font>
    <font>
      <sz val="10"/>
      <color theme="1"/>
      <name val="Arial"/>
      <family val="2"/>
      <scheme val="minor"/>
    </font>
    <font>
      <b/>
      <sz val="11"/>
      <color theme="1"/>
      <name val="Calibri"/>
      <family val="2"/>
    </font>
    <font>
      <sz val="11"/>
      <color theme="1"/>
      <name val="Calibri"/>
      <family val="2"/>
    </font>
    <font>
      <i/>
      <sz val="11"/>
      <color theme="1"/>
      <name val="Arial"/>
      <family val="2"/>
    </font>
    <font>
      <b/>
      <sz val="11"/>
      <name val="Arial"/>
      <family val="2"/>
      <scheme val="minor"/>
    </font>
    <font>
      <sz val="11"/>
      <color rgb="FF000000"/>
      <name val="Arial"/>
      <family val="2"/>
    </font>
    <font>
      <sz val="14"/>
      <color rgb="FF000000"/>
      <name val="Arial"/>
      <family val="2"/>
    </font>
    <font>
      <b/>
      <sz val="12"/>
      <color rgb="FF000000"/>
      <name val="Arial"/>
      <family val="2"/>
    </font>
    <font>
      <b/>
      <sz val="14"/>
      <color rgb="FF000000"/>
      <name val="Arial"/>
      <family val="2"/>
    </font>
    <font>
      <b/>
      <sz val="16"/>
      <color rgb="FF000000"/>
      <name val="Arial"/>
      <family val="2"/>
    </font>
    <font>
      <b/>
      <sz val="18"/>
      <color rgb="FF000000"/>
      <name val="Arial"/>
      <family val="2"/>
    </font>
    <font>
      <b/>
      <i/>
      <sz val="11"/>
      <color rgb="FFFA7D00"/>
      <name val="Arial"/>
      <family val="2"/>
      <scheme val="minor"/>
    </font>
    <font>
      <i/>
      <sz val="11"/>
      <color rgb="FF000000"/>
      <name val="Calibri"/>
      <family val="2"/>
    </font>
    <font>
      <sz val="11"/>
      <name val="Calibri"/>
      <family val="2"/>
    </font>
    <font>
      <sz val="11"/>
      <color rgb="FF9C6500"/>
      <name val="Arial"/>
      <family val="2"/>
      <scheme val="minor"/>
    </font>
    <font>
      <b/>
      <sz val="11"/>
      <color theme="4"/>
      <name val="Calibri"/>
      <family val="2"/>
    </font>
    <font>
      <b/>
      <sz val="14"/>
      <color rgb="FF000000"/>
      <name val="Calibri"/>
      <family val="2"/>
    </font>
    <font>
      <b/>
      <sz val="11"/>
      <color rgb="FF000000"/>
      <name val="Arial"/>
      <family val="2"/>
      <scheme val="minor"/>
    </font>
    <font>
      <b/>
      <sz val="11"/>
      <color rgb="FF9C0006"/>
      <name val="Arial"/>
      <family val="2"/>
      <scheme val="minor"/>
    </font>
    <font>
      <b/>
      <sz val="11"/>
      <color rgb="FF006100"/>
      <name val="Arial"/>
      <family val="2"/>
      <scheme val="minor"/>
    </font>
    <font>
      <u/>
      <sz val="11"/>
      <color rgb="FF0000FF"/>
      <name val="Arial"/>
      <family val="2"/>
    </font>
    <font>
      <sz val="11"/>
      <color rgb="FF0000FF"/>
      <name val="Arial"/>
      <family val="2"/>
    </font>
    <font>
      <sz val="11"/>
      <color rgb="FFFFFFFF"/>
      <name val="Calibri"/>
      <family val="2"/>
    </font>
    <font>
      <sz val="11"/>
      <name val="Arial"/>
      <family val="2"/>
    </font>
    <font>
      <sz val="12"/>
      <color theme="1"/>
      <name val="Calibri"/>
      <family val="2"/>
    </font>
    <font>
      <b/>
      <sz val="11"/>
      <color theme="1"/>
      <name val="Arial"/>
      <family val="2"/>
    </font>
    <font>
      <b/>
      <i/>
      <sz val="11"/>
      <color rgb="FF000000"/>
      <name val="Arial"/>
      <family val="2"/>
      <scheme val="minor"/>
    </font>
    <font>
      <i/>
      <sz val="11"/>
      <color theme="1"/>
      <name val="Arial"/>
      <family val="2"/>
      <scheme val="minor"/>
    </font>
    <font>
      <sz val="10"/>
      <color theme="1"/>
      <name val="Calibri"/>
      <family val="2"/>
    </font>
    <font>
      <b/>
      <sz val="10"/>
      <color theme="1"/>
      <name val="Calibri"/>
      <family val="2"/>
    </font>
    <font>
      <sz val="18"/>
      <color rgb="FF000000"/>
      <name val="Arial"/>
      <family val="2"/>
    </font>
    <font>
      <sz val="20"/>
      <color rgb="FF000000"/>
      <name val="Arial"/>
      <family val="2"/>
    </font>
    <font>
      <b/>
      <u/>
      <sz val="10"/>
      <color theme="1"/>
      <name val="Arial"/>
      <family val="2"/>
    </font>
    <font>
      <sz val="22"/>
      <color rgb="FF000000"/>
      <name val="Arial"/>
      <family val="2"/>
    </font>
    <font>
      <sz val="8"/>
      <name val="Arial"/>
      <family val="2"/>
    </font>
    <font>
      <b/>
      <i/>
      <sz val="11"/>
      <color theme="1"/>
      <name val="Arial"/>
      <family val="2"/>
      <scheme val="minor"/>
    </font>
    <font>
      <sz val="11"/>
      <color theme="1"/>
      <name val="Arial"/>
      <family val="2"/>
      <scheme val="minor"/>
    </font>
    <font>
      <i/>
      <sz val="11"/>
      <color theme="1"/>
      <name val="Arial"/>
      <family val="2"/>
    </font>
    <font>
      <sz val="10"/>
      <color theme="1"/>
      <name val="Arial"/>
      <family val="2"/>
    </font>
    <font>
      <i/>
      <sz val="11"/>
      <color rgb="FF000000"/>
      <name val="Calibri"/>
      <family val="2"/>
    </font>
    <font>
      <sz val="11"/>
      <color theme="1"/>
      <name val="Arial"/>
      <family val="2"/>
    </font>
    <font>
      <sz val="11"/>
      <color rgb="FF000000"/>
      <name val="Arial"/>
      <family val="2"/>
    </font>
    <font>
      <sz val="10"/>
      <color rgb="FFFF0000"/>
      <name val="Arial"/>
      <family val="2"/>
    </font>
    <font>
      <b/>
      <sz val="10"/>
      <color theme="1"/>
      <name val="Arial"/>
      <family val="2"/>
    </font>
    <font>
      <b/>
      <i/>
      <sz val="11"/>
      <color theme="1"/>
      <name val="Arial"/>
      <family val="2"/>
    </font>
    <font>
      <sz val="11"/>
      <color rgb="FFFF0000"/>
      <name val="Arial"/>
      <family val="2"/>
    </font>
    <font>
      <b/>
      <i/>
      <sz val="11"/>
      <color rgb="FF000000"/>
      <name val="Arial"/>
      <family val="2"/>
    </font>
    <font>
      <b/>
      <sz val="20"/>
      <color rgb="FFFFFF00"/>
      <name val="Arial"/>
      <family val="2"/>
    </font>
    <font>
      <b/>
      <sz val="10"/>
      <color rgb="FFFFFF00"/>
      <name val="Arial"/>
      <family val="2"/>
    </font>
    <font>
      <b/>
      <sz val="11"/>
      <color rgb="FF9C6500"/>
      <name val="Calibri"/>
      <family val="2"/>
    </font>
    <font>
      <sz val="11"/>
      <color rgb="FF9C6500"/>
      <name val="Calibri"/>
      <family val="2"/>
    </font>
    <font>
      <b/>
      <sz val="12"/>
      <color rgb="FF9C6500"/>
      <name val="Calibri"/>
      <family val="2"/>
    </font>
    <font>
      <sz val="12"/>
      <color rgb="FF9C6500"/>
      <name val="Calibri"/>
      <family val="2"/>
    </font>
    <font>
      <b/>
      <sz val="11"/>
      <color rgb="FFFF0000"/>
      <name val="Arial"/>
      <family val="2"/>
    </font>
    <font>
      <sz val="12"/>
      <color rgb="FF4A86E8"/>
      <name val="Arial"/>
      <family val="2"/>
    </font>
    <font>
      <b/>
      <sz val="16"/>
      <color theme="1"/>
      <name val="Arial"/>
      <family val="2"/>
      <scheme val="minor"/>
    </font>
    <font>
      <b/>
      <i/>
      <sz val="10"/>
      <color rgb="FF000000"/>
      <name val="Arial"/>
      <family val="2"/>
    </font>
    <font>
      <sz val="8"/>
      <color theme="1"/>
      <name val="Arial"/>
      <family val="2"/>
    </font>
    <font>
      <b/>
      <sz val="12"/>
      <color rgb="FFFFFF00"/>
      <name val="Arial"/>
      <family val="2"/>
    </font>
    <font>
      <b/>
      <sz val="12"/>
      <color rgb="FFFFFF00"/>
      <name val="Arial"/>
      <family val="2"/>
      <scheme val="minor"/>
    </font>
    <font>
      <b/>
      <sz val="10"/>
      <color rgb="FFFF0000"/>
      <name val="Arial"/>
      <family val="2"/>
    </font>
    <font>
      <b/>
      <sz val="11"/>
      <color rgb="FFFFFF00"/>
      <name val="Arial"/>
      <family val="2"/>
      <scheme val="minor"/>
    </font>
    <font>
      <sz val="11"/>
      <color rgb="FF000000"/>
      <name val="Arial"/>
      <family val="2"/>
      <scheme val="minor"/>
    </font>
    <font>
      <b/>
      <i/>
      <sz val="12"/>
      <color theme="1"/>
      <name val="Arial"/>
      <family val="2"/>
      <scheme val="minor"/>
    </font>
    <font>
      <b/>
      <i/>
      <sz val="12"/>
      <color rgb="FF000000"/>
      <name val="Arial"/>
      <family val="2"/>
    </font>
    <font>
      <b/>
      <sz val="12"/>
      <color theme="1"/>
      <name val="Arial"/>
      <family val="2"/>
    </font>
    <font>
      <sz val="11"/>
      <color rgb="FFFF0000"/>
      <name val="Arial"/>
      <family val="2"/>
      <scheme val="minor"/>
    </font>
    <font>
      <b/>
      <sz val="11"/>
      <color theme="0"/>
      <name val="Calibri"/>
      <family val="2"/>
    </font>
    <font>
      <sz val="9"/>
      <color rgb="FF1155CC"/>
      <name val="&quot;Google Sans Mono&quot;"/>
    </font>
    <font>
      <b/>
      <i/>
      <sz val="12"/>
      <color theme="1"/>
      <name val="Calibri"/>
      <family val="2"/>
    </font>
    <font>
      <b/>
      <sz val="11"/>
      <color rgb="FFFFFFFF"/>
      <name val="Arial"/>
      <family val="2"/>
      <scheme val="minor"/>
    </font>
    <font>
      <sz val="11"/>
      <color rgb="FF1F1F1F"/>
      <name val="&quot;Google Sans&quot;"/>
    </font>
    <font>
      <b/>
      <sz val="12"/>
      <color theme="1"/>
      <name val="Arial"/>
      <family val="2"/>
      <scheme val="minor"/>
    </font>
    <font>
      <b/>
      <sz val="12"/>
      <color theme="1"/>
      <name val="Calibri"/>
      <family val="2"/>
    </font>
    <font>
      <sz val="9"/>
      <color rgb="FF7E3794"/>
      <name val="&quot;Google Sans Mono&quot;"/>
    </font>
    <font>
      <sz val="11"/>
      <color rgb="FF000000"/>
      <name val="Roboto"/>
    </font>
    <font>
      <sz val="11"/>
      <color rgb="FF1F1F1F"/>
      <name val="Arial"/>
      <family val="2"/>
      <scheme val="minor"/>
    </font>
    <font>
      <sz val="11"/>
      <color theme="1"/>
      <name val="Arial"/>
      <family val="2"/>
      <scheme val="major"/>
    </font>
    <font>
      <sz val="11"/>
      <color rgb="FF1155CC"/>
      <name val="Arial"/>
      <family val="2"/>
      <scheme val="major"/>
    </font>
    <font>
      <b/>
      <sz val="11"/>
      <color theme="1"/>
      <name val="Arial"/>
      <family val="2"/>
      <scheme val="major"/>
    </font>
    <font>
      <sz val="11"/>
      <color rgb="FFFF0000"/>
      <name val="Arial"/>
      <family val="2"/>
      <scheme val="major"/>
    </font>
    <font>
      <sz val="11"/>
      <color rgb="FF1F1F1F"/>
      <name val="Arial"/>
      <family val="2"/>
      <scheme val="major"/>
    </font>
    <font>
      <sz val="11"/>
      <color rgb="FFFFFF00"/>
      <name val="Calibri"/>
      <family val="2"/>
    </font>
    <font>
      <sz val="16"/>
      <color theme="1"/>
      <name val="Calibri"/>
      <family val="2"/>
    </font>
    <font>
      <sz val="10"/>
      <color theme="4" tint="-0.249977111117893"/>
      <name val="Arial"/>
      <family val="2"/>
    </font>
    <font>
      <sz val="10"/>
      <color theme="5" tint="-0.249977111117893"/>
      <name val="Arial"/>
      <family val="2"/>
    </font>
    <font>
      <sz val="10"/>
      <color rgb="FF00B050"/>
      <name val="Arial"/>
      <family val="2"/>
    </font>
    <font>
      <sz val="16"/>
      <color theme="1"/>
      <name val="Arial"/>
      <family val="2"/>
      <scheme val="minor"/>
    </font>
    <font>
      <b/>
      <sz val="10"/>
      <color theme="0"/>
      <name val="Arial"/>
      <family val="2"/>
    </font>
  </fonts>
  <fills count="90">
    <fill>
      <patternFill patternType="none"/>
    </fill>
    <fill>
      <patternFill patternType="gray125"/>
    </fill>
    <fill>
      <patternFill patternType="solid">
        <fgColor rgb="FFFFFF00"/>
        <bgColor rgb="FFFFFF00"/>
      </patternFill>
    </fill>
    <fill>
      <patternFill patternType="solid">
        <fgColor rgb="FFEFEFEF"/>
        <bgColor rgb="FFEFEFEF"/>
      </patternFill>
    </fill>
    <fill>
      <patternFill patternType="solid">
        <fgColor rgb="FFF3F3F3"/>
        <bgColor rgb="FFF3F3F3"/>
      </patternFill>
    </fill>
    <fill>
      <patternFill patternType="solid">
        <fgColor rgb="FF000000"/>
        <bgColor rgb="FF000000"/>
      </patternFill>
    </fill>
    <fill>
      <patternFill patternType="solid">
        <fgColor rgb="FFFFF2CC"/>
        <bgColor rgb="FFFFF2CC"/>
      </patternFill>
    </fill>
    <fill>
      <patternFill patternType="solid">
        <fgColor theme="7"/>
        <bgColor theme="7"/>
      </patternFill>
    </fill>
    <fill>
      <patternFill patternType="solid">
        <fgColor rgb="FFCCCCCC"/>
        <bgColor rgb="FFCCCCCC"/>
      </patternFill>
    </fill>
    <fill>
      <patternFill patternType="solid">
        <fgColor rgb="FFB7B7B7"/>
        <bgColor rgb="FFB7B7B7"/>
      </patternFill>
    </fill>
    <fill>
      <patternFill patternType="solid">
        <fgColor rgb="FF46BDC6"/>
        <bgColor rgb="FF46BDC6"/>
      </patternFill>
    </fill>
    <fill>
      <patternFill patternType="solid">
        <fgColor rgb="FFFFFFFF"/>
        <bgColor rgb="FFFFFFFF"/>
      </patternFill>
    </fill>
    <fill>
      <patternFill patternType="solid">
        <fgColor rgb="FFFCE5CD"/>
        <bgColor rgb="FFFCE5CD"/>
      </patternFill>
    </fill>
    <fill>
      <patternFill patternType="solid">
        <fgColor theme="1"/>
        <bgColor theme="1"/>
      </patternFill>
    </fill>
    <fill>
      <patternFill patternType="solid">
        <fgColor rgb="FFFFFF00"/>
        <bgColor indexed="64"/>
      </patternFill>
    </fill>
    <fill>
      <patternFill patternType="solid">
        <fgColor theme="7" tint="0.39997558519241921"/>
        <bgColor indexed="64"/>
      </patternFill>
    </fill>
    <fill>
      <patternFill patternType="solid">
        <fgColor theme="2" tint="-4.9989318521683403E-2"/>
        <bgColor rgb="FFF3F3F3"/>
      </patternFill>
    </fill>
    <fill>
      <patternFill patternType="solid">
        <fgColor theme="2" tint="-4.9989318521683403E-2"/>
        <bgColor indexed="64"/>
      </patternFill>
    </fill>
    <fill>
      <patternFill patternType="solid">
        <fgColor theme="2" tint="-4.9989318521683403E-2"/>
        <bgColor rgb="FF46BDC6"/>
      </patternFill>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rgb="FF92D050"/>
        <bgColor rgb="FFF3F3F3"/>
      </patternFill>
    </fill>
    <fill>
      <patternFill patternType="solid">
        <fgColor theme="4" tint="0.39997558519241921"/>
        <bgColor indexed="64"/>
      </patternFill>
    </fill>
    <fill>
      <patternFill patternType="solid">
        <fgColor theme="4" tint="0.39997558519241921"/>
        <bgColor rgb="FFF3F3F3"/>
      </patternFill>
    </fill>
    <fill>
      <patternFill patternType="solid">
        <fgColor rgb="FFFFC000"/>
        <bgColor rgb="FFF3F3F3"/>
      </patternFill>
    </fill>
    <fill>
      <patternFill patternType="solid">
        <fgColor rgb="FFFFC000"/>
        <bgColor indexed="64"/>
      </patternFill>
    </fill>
    <fill>
      <patternFill patternType="solid">
        <fgColor theme="2" tint="-0.34998626667073579"/>
        <bgColor rgb="FFEFEFEF"/>
      </patternFill>
    </fill>
    <fill>
      <patternFill patternType="solid">
        <fgColor theme="4" tint="0.39997558519241921"/>
        <bgColor rgb="FFEFEFEF"/>
      </patternFill>
    </fill>
    <fill>
      <patternFill patternType="solid">
        <fgColor rgb="FFCFE2F3"/>
        <bgColor rgb="FFCFE2F3"/>
      </patternFill>
    </fill>
    <fill>
      <patternFill patternType="solid">
        <fgColor theme="4" tint="0.59999389629810485"/>
        <bgColor indexed="64"/>
      </patternFill>
    </fill>
    <fill>
      <patternFill patternType="solid">
        <fgColor rgb="FFFFC000"/>
        <bgColor rgb="FF46BDC6"/>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5" tint="0.79998168889431442"/>
        <bgColor indexed="65"/>
      </patternFill>
    </fill>
    <fill>
      <patternFill patternType="solid">
        <fgColor theme="6" tint="0.59999389629810485"/>
        <bgColor indexed="65"/>
      </patternFill>
    </fill>
    <fill>
      <patternFill patternType="solid">
        <fgColor rgb="FFD9D2E9"/>
        <bgColor rgb="FFD9D2E9"/>
      </patternFill>
    </fill>
    <fill>
      <patternFill patternType="solid">
        <fgColor theme="7" tint="0.59999389629810485"/>
        <bgColor indexed="64"/>
      </patternFill>
    </fill>
    <fill>
      <patternFill patternType="solid">
        <fgColor rgb="FFB4C7DC"/>
        <bgColor rgb="FFB4C7DC"/>
      </patternFill>
    </fill>
    <fill>
      <patternFill patternType="solid">
        <fgColor theme="5" tint="0.39997558519241921"/>
        <bgColor indexed="64"/>
      </patternFill>
    </fill>
    <fill>
      <patternFill patternType="solid">
        <fgColor theme="1" tint="0.34998626667073579"/>
        <bgColor indexed="64"/>
      </patternFill>
    </fill>
    <fill>
      <patternFill patternType="solid">
        <fgColor rgb="FFFF0000"/>
        <bgColor indexed="64"/>
      </patternFill>
    </fill>
    <fill>
      <patternFill patternType="solid">
        <fgColor rgb="FF00B0F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B4A7D6"/>
        <bgColor rgb="FFB4A7D6"/>
      </patternFill>
    </fill>
    <fill>
      <patternFill patternType="solid">
        <fgColor rgb="FFB6D7A8"/>
        <bgColor rgb="FFB6D7A8"/>
      </patternFill>
    </fill>
    <fill>
      <patternFill patternType="solid">
        <fgColor theme="6" tint="0.79998168889431442"/>
        <bgColor indexed="64"/>
      </patternFill>
    </fill>
    <fill>
      <patternFill patternType="solid">
        <fgColor rgb="FFFFEB9C"/>
        <bgColor rgb="FFFFEB9C"/>
      </patternFill>
    </fill>
    <fill>
      <patternFill patternType="solid">
        <fgColor rgb="FFFFCCFF"/>
        <bgColor rgb="FFCCCCFF"/>
      </patternFill>
    </fill>
    <fill>
      <patternFill patternType="solid">
        <fgColor rgb="FFFFCCFF"/>
        <bgColor indexed="64"/>
      </patternFill>
    </fill>
    <fill>
      <patternFill patternType="solid">
        <fgColor rgb="FFCCCCFF"/>
        <bgColor rgb="FFCCCCFF"/>
      </patternFill>
    </fill>
    <fill>
      <patternFill patternType="solid">
        <fgColor theme="0"/>
        <bgColor rgb="FFEAF1DD"/>
      </patternFill>
    </fill>
    <fill>
      <patternFill patternType="solid">
        <fgColor theme="0"/>
        <bgColor theme="0"/>
      </patternFill>
    </fill>
    <fill>
      <patternFill patternType="solid">
        <fgColor rgb="FFFFC7CE"/>
        <bgColor rgb="FFFFC7CE"/>
      </patternFill>
    </fill>
    <fill>
      <patternFill patternType="solid">
        <fgColor rgb="FFC6EFCE"/>
        <bgColor rgb="FFC6EFCE"/>
      </patternFill>
    </fill>
    <fill>
      <patternFill patternType="solid">
        <fgColor rgb="FFB8CCE4"/>
        <bgColor rgb="FFB8CCE4"/>
      </patternFill>
    </fill>
    <fill>
      <patternFill patternType="solid">
        <fgColor rgb="FF333399"/>
        <bgColor rgb="FF333399"/>
      </patternFill>
    </fill>
    <fill>
      <patternFill patternType="solid">
        <fgColor theme="8" tint="0.59999389629810485"/>
        <bgColor indexed="64"/>
      </patternFill>
    </fill>
    <fill>
      <patternFill patternType="solid">
        <fgColor theme="5" tint="0.79998168889431442"/>
        <bgColor indexed="64"/>
      </patternFill>
    </fill>
    <fill>
      <patternFill patternType="solid">
        <fgColor rgb="FFEAF1DD"/>
        <bgColor rgb="FFEAF1DD"/>
      </patternFill>
    </fill>
    <fill>
      <patternFill patternType="solid">
        <fgColor theme="5" tint="0.59999389629810485"/>
        <bgColor indexed="64"/>
      </patternFill>
    </fill>
    <fill>
      <patternFill patternType="solid">
        <fgColor rgb="FFFDE9D9"/>
        <bgColor rgb="FFFDE9D9"/>
      </patternFill>
    </fill>
    <fill>
      <patternFill patternType="solid">
        <fgColor rgb="FF92D050"/>
        <bgColor rgb="FFFFEB9C"/>
      </patternFill>
    </fill>
    <fill>
      <patternFill patternType="solid">
        <fgColor rgb="FF95B3D7"/>
        <bgColor rgb="FF95B3D7"/>
      </patternFill>
    </fill>
    <fill>
      <patternFill patternType="solid">
        <fgColor rgb="FFD9D9D9"/>
        <bgColor rgb="FFD9D9D9"/>
      </patternFill>
    </fill>
    <fill>
      <patternFill patternType="solid">
        <fgColor rgb="FFEA9999"/>
        <bgColor rgb="FFEA9999"/>
      </patternFill>
    </fill>
    <fill>
      <patternFill patternType="solid">
        <fgColor rgb="FFB2A1C7"/>
        <bgColor indexed="64"/>
      </patternFill>
    </fill>
    <fill>
      <patternFill patternType="solid">
        <fgColor rgb="FFCCC0D9"/>
        <bgColor indexed="64"/>
      </patternFill>
    </fill>
    <fill>
      <patternFill patternType="solid">
        <fgColor rgb="FFE5DFEC"/>
        <bgColor indexed="64"/>
      </patternFill>
    </fill>
    <fill>
      <patternFill patternType="solid">
        <fgColor rgb="FFF2DBDB"/>
        <bgColor indexed="64"/>
      </patternFill>
    </fill>
    <fill>
      <patternFill patternType="solid">
        <fgColor rgb="FFD6E3BC"/>
        <bgColor indexed="64"/>
      </patternFill>
    </fill>
    <fill>
      <patternFill patternType="solid">
        <fgColor rgb="FF92D050"/>
        <bgColor rgb="FFD9D2E9"/>
      </patternFill>
    </fill>
    <fill>
      <patternFill patternType="solid">
        <fgColor rgb="FFC0C0C0"/>
        <bgColor rgb="FFC0C0C0"/>
      </patternFill>
    </fill>
    <fill>
      <patternFill patternType="solid">
        <fgColor rgb="FFCCFFCC"/>
        <bgColor rgb="FFCCFFCC"/>
      </patternFill>
    </fill>
    <fill>
      <patternFill patternType="solid">
        <fgColor rgb="FFFFFF00"/>
        <bgColor rgb="FFEAF1DD"/>
      </patternFill>
    </fill>
    <fill>
      <patternFill patternType="solid">
        <fgColor rgb="FF0070C0"/>
        <bgColor rgb="FF0070C0"/>
      </patternFill>
    </fill>
    <fill>
      <patternFill patternType="solid">
        <fgColor rgb="FFA5A5A5"/>
        <bgColor rgb="FFA5A5A5"/>
      </patternFill>
    </fill>
    <fill>
      <patternFill patternType="solid">
        <fgColor rgb="FFBFBFBF"/>
        <bgColor rgb="FFBFBFBF"/>
      </patternFill>
    </fill>
    <fill>
      <patternFill patternType="solid">
        <fgColor rgb="FFC2D69B"/>
        <bgColor rgb="FFC2D69B"/>
      </patternFill>
    </fill>
    <fill>
      <patternFill patternType="solid">
        <fgColor theme="9" tint="0.59999389629810485"/>
        <bgColor indexed="64"/>
      </patternFill>
    </fill>
    <fill>
      <patternFill patternType="solid">
        <fgColor rgb="FF666666"/>
        <bgColor rgb="FF666666"/>
      </patternFill>
    </fill>
    <fill>
      <patternFill patternType="solid">
        <fgColor rgb="FFFFE599"/>
        <bgColor rgb="FFFFE599"/>
      </patternFill>
    </fill>
  </fills>
  <borders count="18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bottom style="medium">
        <color rgb="FF000000"/>
      </bottom>
      <diagonal/>
    </border>
    <border>
      <left/>
      <right style="thin">
        <color rgb="FF000000"/>
      </right>
      <top/>
      <bottom style="thin">
        <color rgb="FF000000"/>
      </bottom>
      <diagonal/>
    </border>
    <border>
      <left style="medium">
        <color indexed="64"/>
      </left>
      <right style="medium">
        <color rgb="FF000000"/>
      </right>
      <top style="medium">
        <color indexed="64"/>
      </top>
      <bottom style="thin">
        <color rgb="FF000000"/>
      </bottom>
      <diagonal/>
    </border>
    <border>
      <left/>
      <right style="medium">
        <color indexed="64"/>
      </right>
      <top style="medium">
        <color indexed="64"/>
      </top>
      <bottom/>
      <diagonal/>
    </border>
    <border>
      <left style="medium">
        <color indexed="64"/>
      </left>
      <right style="medium">
        <color rgb="FF000000"/>
      </right>
      <top style="thin">
        <color rgb="FF000000"/>
      </top>
      <bottom style="thin">
        <color rgb="FF000000"/>
      </bottom>
      <diagonal/>
    </border>
    <border>
      <left style="medium">
        <color rgb="FF000000"/>
      </left>
      <right style="medium">
        <color indexed="64"/>
      </right>
      <top/>
      <bottom/>
      <diagonal/>
    </border>
    <border>
      <left style="medium">
        <color indexed="64"/>
      </left>
      <right style="medium">
        <color rgb="FF000000"/>
      </right>
      <top style="thin">
        <color rgb="FF000000"/>
      </top>
      <bottom style="medium">
        <color indexed="64"/>
      </bottom>
      <diagonal/>
    </border>
    <border>
      <left/>
      <right style="medium">
        <color indexed="64"/>
      </right>
      <top/>
      <bottom style="medium">
        <color indexed="64"/>
      </bottom>
      <diagonal/>
    </border>
    <border>
      <left style="medium">
        <color rgb="FF000000"/>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000000"/>
      </right>
      <top/>
      <bottom style="medium">
        <color indexed="64"/>
      </bottom>
      <diagonal/>
    </border>
    <border>
      <left/>
      <right/>
      <top/>
      <bottom style="medium">
        <color indexed="64"/>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medium">
        <color indexed="64"/>
      </left>
      <right/>
      <top/>
      <bottom style="medium">
        <color indexed="64"/>
      </bottom>
      <diagonal/>
    </border>
    <border>
      <left/>
      <right style="thin">
        <color indexed="64"/>
      </right>
      <top/>
      <bottom/>
      <diagonal/>
    </border>
    <border>
      <left/>
      <right/>
      <top style="medium">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rgb="FF000000"/>
      </right>
      <top/>
      <bottom/>
      <diagonal/>
    </border>
    <border>
      <left style="thin">
        <color rgb="FF000000"/>
      </left>
      <right style="thin">
        <color rgb="FF000000"/>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style="medium">
        <color indexed="64"/>
      </top>
      <bottom style="medium">
        <color indexed="64"/>
      </bottom>
      <diagonal/>
    </border>
    <border>
      <left/>
      <right style="thin">
        <color rgb="FF000000"/>
      </right>
      <top/>
      <bottom style="medium">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medium">
        <color indexed="64"/>
      </left>
      <right style="medium">
        <color indexed="64"/>
      </right>
      <top style="medium">
        <color indexed="64"/>
      </top>
      <bottom style="medium">
        <color indexed="64"/>
      </bottom>
      <diagonal/>
    </border>
    <border>
      <left style="thin">
        <color rgb="FF000000"/>
      </left>
      <right/>
      <top/>
      <bottom style="thin">
        <color rgb="FF000000"/>
      </bottom>
      <diagonal/>
    </border>
    <border>
      <left/>
      <right/>
      <top/>
      <bottom style="thin">
        <color rgb="FF000000"/>
      </bottom>
      <diagonal/>
    </border>
    <border>
      <left style="thin">
        <color indexed="64"/>
      </left>
      <right style="thin">
        <color rgb="FF000000"/>
      </right>
      <top style="thin">
        <color rgb="FF000000"/>
      </top>
      <bottom/>
      <diagonal/>
    </border>
    <border>
      <left/>
      <right/>
      <top style="thin">
        <color indexed="64"/>
      </top>
      <bottom/>
      <diagonal/>
    </border>
    <border>
      <left/>
      <right style="medium">
        <color rgb="FF000000"/>
      </right>
      <top/>
      <bottom/>
      <diagonal/>
    </border>
    <border>
      <left/>
      <right style="thin">
        <color rgb="FF7F7F7F"/>
      </right>
      <top style="thin">
        <color rgb="FF7F7F7F"/>
      </top>
      <bottom style="thin">
        <color rgb="FF7F7F7F"/>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indexed="64"/>
      </left>
      <right style="medium">
        <color indexed="64"/>
      </right>
      <top/>
      <bottom style="thin">
        <color indexed="64"/>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rgb="FF7F7F7F"/>
      </left>
      <right/>
      <top style="medium">
        <color indexed="64"/>
      </top>
      <bottom/>
      <diagonal/>
    </border>
    <border>
      <left/>
      <right/>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C0C0C0"/>
      </right>
      <top style="thin">
        <color rgb="FF000000"/>
      </top>
      <bottom style="thin">
        <color rgb="FFC0C0C0"/>
      </bottom>
      <diagonal/>
    </border>
    <border>
      <left style="thin">
        <color rgb="FFC0C0C0"/>
      </left>
      <right/>
      <top style="thin">
        <color rgb="FF000000"/>
      </top>
      <bottom style="thin">
        <color rgb="FFC0C0C0"/>
      </bottom>
      <diagonal/>
    </border>
    <border>
      <left/>
      <right/>
      <top style="thin">
        <color rgb="FF000000"/>
      </top>
      <bottom style="thin">
        <color rgb="FFC0C0C0"/>
      </bottom>
      <diagonal/>
    </border>
    <border>
      <left/>
      <right style="thin">
        <color rgb="FF000000"/>
      </right>
      <top style="thin">
        <color rgb="FF000000"/>
      </top>
      <bottom style="thin">
        <color rgb="FFC0C0C0"/>
      </bottom>
      <diagonal/>
    </border>
    <border>
      <left style="thin">
        <color rgb="FF00000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000000"/>
      </right>
      <top style="thin">
        <color rgb="FFC0C0C0"/>
      </top>
      <bottom style="thin">
        <color rgb="FFC0C0C0"/>
      </bottom>
      <diagonal/>
    </border>
    <border>
      <left style="thin">
        <color rgb="FF000000"/>
      </left>
      <right style="thin">
        <color rgb="FFC0C0C0"/>
      </right>
      <top style="thin">
        <color rgb="FFC0C0C0"/>
      </top>
      <bottom style="thin">
        <color rgb="FF000000"/>
      </bottom>
      <diagonal/>
    </border>
    <border>
      <left style="thin">
        <color rgb="FFC0C0C0"/>
      </left>
      <right style="thin">
        <color rgb="FFC0C0C0"/>
      </right>
      <top style="thin">
        <color rgb="FFC0C0C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medium">
        <color indexed="64"/>
      </top>
      <bottom/>
      <diagonal/>
    </border>
    <border>
      <left style="thin">
        <color indexed="64"/>
      </left>
      <right/>
      <top/>
      <bottom/>
      <diagonal/>
    </border>
    <border>
      <left style="medium">
        <color rgb="FF00B050"/>
      </left>
      <right style="thin">
        <color indexed="64"/>
      </right>
      <top style="medium">
        <color rgb="FF00B050"/>
      </top>
      <bottom style="thin">
        <color indexed="64"/>
      </bottom>
      <diagonal/>
    </border>
    <border>
      <left style="thin">
        <color indexed="64"/>
      </left>
      <right style="thin">
        <color indexed="64"/>
      </right>
      <top style="medium">
        <color rgb="FF00B050"/>
      </top>
      <bottom style="thin">
        <color indexed="64"/>
      </bottom>
      <diagonal/>
    </border>
    <border>
      <left style="thin">
        <color indexed="64"/>
      </left>
      <right style="medium">
        <color rgb="FF00B050"/>
      </right>
      <top style="medium">
        <color rgb="FF00B050"/>
      </top>
      <bottom style="thin">
        <color indexed="64"/>
      </bottom>
      <diagonal/>
    </border>
    <border>
      <left style="medium">
        <color rgb="FF00B050"/>
      </left>
      <right style="thin">
        <color indexed="64"/>
      </right>
      <top style="thin">
        <color indexed="64"/>
      </top>
      <bottom style="thin">
        <color indexed="64"/>
      </bottom>
      <diagonal/>
    </border>
    <border>
      <left style="thin">
        <color indexed="64"/>
      </left>
      <right style="medium">
        <color rgb="FF00B050"/>
      </right>
      <top style="thin">
        <color indexed="64"/>
      </top>
      <bottom style="thin">
        <color indexed="64"/>
      </bottom>
      <diagonal/>
    </border>
    <border>
      <left style="medium">
        <color rgb="FF00B050"/>
      </left>
      <right style="thin">
        <color indexed="64"/>
      </right>
      <top style="thin">
        <color indexed="64"/>
      </top>
      <bottom style="medium">
        <color rgb="FF00B050"/>
      </bottom>
      <diagonal/>
    </border>
    <border>
      <left style="thin">
        <color indexed="64"/>
      </left>
      <right style="thin">
        <color indexed="64"/>
      </right>
      <top style="thin">
        <color indexed="64"/>
      </top>
      <bottom style="medium">
        <color rgb="FF00B050"/>
      </bottom>
      <diagonal/>
    </border>
    <border>
      <left style="thin">
        <color theme="3"/>
      </left>
      <right style="thin">
        <color theme="3"/>
      </right>
      <top style="thin">
        <color theme="3"/>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style="medium">
        <color theme="3"/>
      </left>
      <right style="thin">
        <color rgb="FF000000"/>
      </right>
      <top style="thin">
        <color rgb="FF000000"/>
      </top>
      <bottom style="thin">
        <color rgb="FF000000"/>
      </bottom>
      <diagonal/>
    </border>
    <border>
      <left style="medium">
        <color theme="3"/>
      </left>
      <right style="thin">
        <color rgb="FF000000"/>
      </right>
      <top style="thin">
        <color rgb="FF000000"/>
      </top>
      <bottom style="medium">
        <color theme="3"/>
      </bottom>
      <diagonal/>
    </border>
    <border>
      <left style="thin">
        <color rgb="FF000000"/>
      </left>
      <right style="medium">
        <color rgb="FF000000"/>
      </right>
      <top style="thin">
        <color rgb="FF000000"/>
      </top>
      <bottom style="medium">
        <color theme="3"/>
      </bottom>
      <diagonal/>
    </border>
    <border>
      <left style="medium">
        <color theme="3"/>
      </left>
      <right style="thin">
        <color rgb="FF000000"/>
      </right>
      <top style="medium">
        <color theme="3"/>
      </top>
      <bottom style="medium">
        <color theme="3"/>
      </bottom>
      <diagonal/>
    </border>
    <border>
      <left style="thin">
        <color rgb="FF000000"/>
      </left>
      <right style="thin">
        <color rgb="FF000000"/>
      </right>
      <top style="medium">
        <color theme="3"/>
      </top>
      <bottom style="medium">
        <color theme="3"/>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CCCCCC"/>
      </left>
      <right style="medium">
        <color rgb="FF000000"/>
      </right>
      <top style="medium">
        <color rgb="FFCCCCCC"/>
      </top>
      <bottom style="thick">
        <color rgb="FF000000"/>
      </bottom>
      <diagonal/>
    </border>
    <border>
      <left style="medium">
        <color rgb="FFCCCCCC"/>
      </left>
      <right style="thick">
        <color rgb="FF000000"/>
      </right>
      <top style="medium">
        <color rgb="FFCCCCCC"/>
      </top>
      <bottom style="thick">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theme="3"/>
      </left>
      <right style="thin">
        <color theme="3"/>
      </right>
      <top/>
      <bottom style="thin">
        <color theme="3"/>
      </bottom>
      <diagonal/>
    </border>
    <border>
      <left/>
      <right/>
      <top style="thin">
        <color rgb="FF00000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right/>
      <top/>
      <bottom style="double">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rgb="FF000000"/>
      </right>
      <top style="thin">
        <color rgb="FF000000"/>
      </top>
      <bottom style="medium">
        <color rgb="FF000000"/>
      </bottom>
      <diagonal/>
    </border>
  </borders>
  <cellStyleXfs count="26">
    <xf numFmtId="0" fontId="0" fillId="0" borderId="0"/>
    <xf numFmtId="9" fontId="7" fillId="0" borderId="0" applyFont="0" applyFill="0" applyBorder="0" applyAlignment="0" applyProtection="0"/>
    <xf numFmtId="44" fontId="7" fillId="0" borderId="0" applyFont="0" applyFill="0" applyBorder="0" applyAlignment="0" applyProtection="0"/>
    <xf numFmtId="43" fontId="31" fillId="0" borderId="0" applyFont="0" applyFill="0" applyBorder="0" applyAlignment="0" applyProtection="0"/>
    <xf numFmtId="0" fontId="32" fillId="33" borderId="0" applyNumberFormat="0" applyBorder="0" applyAlignment="0" applyProtection="0"/>
    <xf numFmtId="0" fontId="33" fillId="34" borderId="0" applyNumberFormat="0" applyBorder="0" applyAlignment="0" applyProtection="0"/>
    <xf numFmtId="0" fontId="34" fillId="36" borderId="73" applyNumberFormat="0" applyAlignment="0" applyProtection="0"/>
    <xf numFmtId="0" fontId="35" fillId="37" borderId="73" applyNumberFormat="0" applyAlignment="0" applyProtection="0"/>
    <xf numFmtId="0" fontId="36" fillId="38" borderId="74" applyNumberFormat="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55" fillId="35" borderId="0" applyNumberFormat="0" applyBorder="0" applyAlignment="0" applyProtection="0"/>
    <xf numFmtId="177" fontId="4" fillId="0" borderId="0" applyFont="0" applyFill="0" applyBorder="0" applyAlignment="0" applyProtection="0"/>
    <xf numFmtId="9" fontId="4" fillId="0" borderId="0" applyFont="0" applyFill="0" applyBorder="0" applyAlignment="0" applyProtection="0"/>
    <xf numFmtId="0" fontId="7" fillId="0" borderId="0"/>
    <xf numFmtId="0" fontId="3" fillId="0" borderId="0"/>
    <xf numFmtId="9" fontId="3" fillId="0" borderId="0" applyFont="0" applyFill="0" applyBorder="0" applyAlignment="0" applyProtection="0"/>
    <xf numFmtId="0" fontId="3" fillId="39" borderId="0" applyNumberFormat="0" applyBorder="0" applyAlignment="0" applyProtection="0"/>
    <xf numFmtId="177" fontId="3" fillId="0" borderId="0" applyFont="0" applyFill="0" applyBorder="0" applyAlignment="0" applyProtection="0"/>
    <xf numFmtId="0" fontId="103" fillId="0" borderId="0"/>
    <xf numFmtId="0" fontId="2" fillId="0" borderId="0"/>
    <xf numFmtId="9" fontId="2" fillId="0" borderId="0" applyFont="0" applyFill="0" applyBorder="0" applyAlignment="0" applyProtection="0"/>
    <xf numFmtId="177" fontId="2" fillId="0" borderId="0" applyFont="0" applyFill="0" applyBorder="0" applyAlignment="0" applyProtection="0"/>
    <xf numFmtId="0" fontId="2" fillId="40" borderId="0" applyNumberFormat="0" applyBorder="0" applyAlignment="0" applyProtection="0"/>
    <xf numFmtId="0" fontId="20" fillId="0" borderId="0"/>
  </cellStyleXfs>
  <cellXfs count="1920">
    <xf numFmtId="0" fontId="0" fillId="0" borderId="0" xfId="0"/>
    <xf numFmtId="10" fontId="5" fillId="0" borderId="0" xfId="0" applyNumberFormat="1" applyFont="1"/>
    <xf numFmtId="0" fontId="5" fillId="0" borderId="0" xfId="0" applyFont="1"/>
    <xf numFmtId="10" fontId="6" fillId="0" borderId="0" xfId="0" applyNumberFormat="1" applyFont="1"/>
    <xf numFmtId="0" fontId="6" fillId="0" borderId="0" xfId="0" applyFont="1"/>
    <xf numFmtId="164" fontId="6" fillId="0" borderId="0" xfId="0" applyNumberFormat="1" applyFont="1"/>
    <xf numFmtId="164" fontId="5" fillId="0" borderId="0" xfId="0" applyNumberFormat="1" applyFont="1"/>
    <xf numFmtId="1" fontId="5" fillId="0" borderId="0" xfId="0" applyNumberFormat="1" applyFont="1"/>
    <xf numFmtId="165" fontId="6" fillId="0" borderId="0" xfId="0" applyNumberFormat="1" applyFont="1"/>
    <xf numFmtId="0" fontId="5" fillId="2" borderId="0" xfId="0" applyFont="1" applyFill="1"/>
    <xf numFmtId="0" fontId="6" fillId="2" borderId="0" xfId="0" applyFont="1" applyFill="1"/>
    <xf numFmtId="2" fontId="6" fillId="0" borderId="0" xfId="0" applyNumberFormat="1" applyFont="1"/>
    <xf numFmtId="9" fontId="5" fillId="0" borderId="0" xfId="0" applyNumberFormat="1" applyFont="1"/>
    <xf numFmtId="9" fontId="6" fillId="0" borderId="0" xfId="0" applyNumberFormat="1" applyFont="1"/>
    <xf numFmtId="0" fontId="7" fillId="3" borderId="0" xfId="0" applyFont="1" applyFill="1"/>
    <xf numFmtId="3" fontId="6" fillId="0" borderId="0" xfId="0" applyNumberFormat="1" applyFont="1"/>
    <xf numFmtId="0" fontId="6" fillId="4" borderId="0" xfId="0" applyFont="1" applyFill="1"/>
    <xf numFmtId="164" fontId="6" fillId="4" borderId="0" xfId="0" applyNumberFormat="1" applyFont="1" applyFill="1"/>
    <xf numFmtId="0" fontId="8" fillId="5" borderId="0" xfId="0" applyFont="1" applyFill="1"/>
    <xf numFmtId="0" fontId="9" fillId="5" borderId="0" xfId="0" applyFont="1" applyFill="1" applyAlignment="1">
      <alignment horizontal="right"/>
    </xf>
    <xf numFmtId="164" fontId="9" fillId="5" borderId="0" xfId="0" applyNumberFormat="1" applyFont="1" applyFill="1" applyAlignment="1">
      <alignment horizontal="right"/>
    </xf>
    <xf numFmtId="0" fontId="9" fillId="5" borderId="1" xfId="0" applyFont="1" applyFill="1" applyBorder="1"/>
    <xf numFmtId="10" fontId="5" fillId="4" borderId="1" xfId="0" applyNumberFormat="1" applyFont="1" applyFill="1" applyBorder="1"/>
    <xf numFmtId="0" fontId="5" fillId="4" borderId="1" xfId="0" applyFont="1" applyFill="1" applyBorder="1"/>
    <xf numFmtId="0" fontId="5" fillId="6" borderId="1" xfId="0" applyFont="1" applyFill="1" applyBorder="1"/>
    <xf numFmtId="0" fontId="6" fillId="0" borderId="1" xfId="0" applyFont="1" applyBorder="1"/>
    <xf numFmtId="164" fontId="6" fillId="0" borderId="1" xfId="0" applyNumberFormat="1" applyFont="1" applyBorder="1"/>
    <xf numFmtId="0" fontId="9" fillId="7" borderId="1" xfId="0" applyFont="1" applyFill="1" applyBorder="1"/>
    <xf numFmtId="0" fontId="11" fillId="3" borderId="1" xfId="0" applyFont="1" applyFill="1" applyBorder="1"/>
    <xf numFmtId="164" fontId="6" fillId="3" borderId="1" xfId="0" applyNumberFormat="1" applyFont="1" applyFill="1" applyBorder="1"/>
    <xf numFmtId="164" fontId="6" fillId="6" borderId="1" xfId="0" applyNumberFormat="1" applyFont="1" applyFill="1" applyBorder="1"/>
    <xf numFmtId="0" fontId="12" fillId="8" borderId="1" xfId="0" applyFont="1" applyFill="1" applyBorder="1"/>
    <xf numFmtId="164" fontId="6" fillId="8" borderId="1" xfId="0" applyNumberFormat="1" applyFont="1" applyFill="1" applyBorder="1"/>
    <xf numFmtId="0" fontId="6" fillId="0" borderId="1" xfId="0" applyFont="1" applyBorder="1" applyAlignment="1">
      <alignment wrapText="1"/>
    </xf>
    <xf numFmtId="0" fontId="12" fillId="9" borderId="1" xfId="0" applyFont="1" applyFill="1" applyBorder="1" applyAlignment="1">
      <alignment wrapText="1"/>
    </xf>
    <xf numFmtId="164" fontId="6" fillId="9" borderId="1" xfId="0" applyNumberFormat="1" applyFont="1" applyFill="1" applyBorder="1"/>
    <xf numFmtId="0" fontId="9" fillId="5" borderId="0" xfId="0" applyFont="1" applyFill="1"/>
    <xf numFmtId="0" fontId="12" fillId="9" borderId="1" xfId="0" applyFont="1" applyFill="1" applyBorder="1"/>
    <xf numFmtId="164" fontId="5" fillId="10" borderId="0" xfId="0" applyNumberFormat="1" applyFont="1" applyFill="1"/>
    <xf numFmtId="10" fontId="5" fillId="10" borderId="1" xfId="0" applyNumberFormat="1" applyFont="1" applyFill="1" applyBorder="1"/>
    <xf numFmtId="0" fontId="13" fillId="5" borderId="5" xfId="0" applyFont="1" applyFill="1" applyBorder="1"/>
    <xf numFmtId="10" fontId="5" fillId="10" borderId="6" xfId="0" applyNumberFormat="1" applyFont="1" applyFill="1" applyBorder="1" applyAlignment="1">
      <alignment horizontal="right"/>
    </xf>
    <xf numFmtId="0" fontId="14" fillId="9" borderId="7" xfId="0" applyFont="1" applyFill="1" applyBorder="1"/>
    <xf numFmtId="0" fontId="15" fillId="9" borderId="8" xfId="0" applyFont="1" applyFill="1" applyBorder="1" applyAlignment="1">
      <alignment horizontal="right"/>
    </xf>
    <xf numFmtId="0" fontId="16" fillId="0" borderId="7" xfId="0" applyFont="1" applyBorder="1"/>
    <xf numFmtId="10" fontId="17" fillId="10" borderId="8" xfId="0" applyNumberFormat="1" applyFont="1" applyFill="1" applyBorder="1" applyAlignment="1">
      <alignment horizontal="right"/>
    </xf>
    <xf numFmtId="10" fontId="16" fillId="0" borderId="8" xfId="0" applyNumberFormat="1" applyFont="1" applyBorder="1" applyAlignment="1">
      <alignment horizontal="right"/>
    </xf>
    <xf numFmtId="0" fontId="6" fillId="0" borderId="7" xfId="0" applyFont="1" applyBorder="1"/>
    <xf numFmtId="0" fontId="6" fillId="0" borderId="8" xfId="0" applyFont="1" applyBorder="1" applyAlignment="1">
      <alignment horizontal="right"/>
    </xf>
    <xf numFmtId="10" fontId="6" fillId="0" borderId="8" xfId="0" applyNumberFormat="1" applyFont="1" applyBorder="1" applyAlignment="1">
      <alignment horizontal="right"/>
    </xf>
    <xf numFmtId="0" fontId="6" fillId="0" borderId="9" xfId="0" applyFont="1" applyBorder="1"/>
    <xf numFmtId="10" fontId="6" fillId="0" borderId="10" xfId="0" applyNumberFormat="1" applyFont="1" applyBorder="1" applyAlignment="1">
      <alignment horizontal="right"/>
    </xf>
    <xf numFmtId="10" fontId="18" fillId="11" borderId="1" xfId="0" applyNumberFormat="1" applyFont="1" applyFill="1" applyBorder="1" applyAlignment="1">
      <alignment wrapText="1"/>
    </xf>
    <xf numFmtId="0" fontId="19" fillId="11" borderId="0" xfId="0" applyFont="1" applyFill="1" applyAlignment="1">
      <alignment wrapText="1"/>
    </xf>
    <xf numFmtId="0" fontId="9" fillId="7" borderId="5" xfId="0" applyFont="1" applyFill="1" applyBorder="1"/>
    <xf numFmtId="0" fontId="9" fillId="7" borderId="11" xfId="0" applyFont="1" applyFill="1" applyBorder="1"/>
    <xf numFmtId="0" fontId="9" fillId="7" borderId="6" xfId="0" applyFont="1" applyFill="1" applyBorder="1"/>
    <xf numFmtId="0" fontId="11" fillId="3" borderId="7" xfId="0" applyFont="1" applyFill="1" applyBorder="1"/>
    <xf numFmtId="164" fontId="6" fillId="3" borderId="8" xfId="0" applyNumberFormat="1" applyFont="1" applyFill="1" applyBorder="1"/>
    <xf numFmtId="164" fontId="6" fillId="0" borderId="8" xfId="0" applyNumberFormat="1" applyFont="1" applyBorder="1"/>
    <xf numFmtId="0" fontId="12" fillId="8" borderId="7" xfId="0" applyFont="1" applyFill="1" applyBorder="1"/>
    <xf numFmtId="164" fontId="6" fillId="8" borderId="8" xfId="0" applyNumberFormat="1" applyFont="1" applyFill="1" applyBorder="1"/>
    <xf numFmtId="0" fontId="6" fillId="0" borderId="7" xfId="0" applyFont="1" applyBorder="1" applyAlignment="1">
      <alignment wrapText="1"/>
    </xf>
    <xf numFmtId="0" fontId="12" fillId="9" borderId="7" xfId="0" applyFont="1" applyFill="1" applyBorder="1" applyAlignment="1">
      <alignment wrapText="1"/>
    </xf>
    <xf numFmtId="164" fontId="6" fillId="9" borderId="8" xfId="0" applyNumberFormat="1" applyFont="1" applyFill="1" applyBorder="1"/>
    <xf numFmtId="10" fontId="5" fillId="10" borderId="0" xfId="0" applyNumberFormat="1" applyFont="1" applyFill="1"/>
    <xf numFmtId="0" fontId="12" fillId="9" borderId="9" xfId="0" applyFont="1" applyFill="1" applyBorder="1"/>
    <xf numFmtId="164" fontId="6" fillId="9" borderId="12" xfId="0" applyNumberFormat="1" applyFont="1" applyFill="1" applyBorder="1"/>
    <xf numFmtId="164" fontId="6" fillId="9" borderId="10" xfId="0" applyNumberFormat="1" applyFont="1" applyFill="1" applyBorder="1"/>
    <xf numFmtId="0" fontId="20" fillId="0" borderId="0" xfId="0" applyFont="1" applyAlignment="1">
      <alignment horizontal="right"/>
    </xf>
    <xf numFmtId="164" fontId="20" fillId="0" borderId="0" xfId="0" applyNumberFormat="1" applyFont="1" applyAlignment="1">
      <alignment horizontal="right"/>
    </xf>
    <xf numFmtId="0" fontId="9" fillId="5" borderId="13" xfId="0" applyFont="1" applyFill="1" applyBorder="1"/>
    <xf numFmtId="10" fontId="6" fillId="0" borderId="13" xfId="0" applyNumberFormat="1" applyFont="1" applyBorder="1"/>
    <xf numFmtId="0" fontId="9" fillId="5" borderId="5" xfId="0" applyFont="1" applyFill="1" applyBorder="1"/>
    <xf numFmtId="10" fontId="5" fillId="4" borderId="6" xfId="0" applyNumberFormat="1" applyFont="1" applyFill="1" applyBorder="1"/>
    <xf numFmtId="0" fontId="9" fillId="5" borderId="7" xfId="0" applyFont="1" applyFill="1" applyBorder="1"/>
    <xf numFmtId="0" fontId="5" fillId="4" borderId="8" xfId="0" applyFont="1" applyFill="1" applyBorder="1"/>
    <xf numFmtId="10" fontId="5" fillId="10" borderId="8" xfId="0" applyNumberFormat="1" applyFont="1" applyFill="1" applyBorder="1"/>
    <xf numFmtId="0" fontId="9" fillId="5" borderId="9" xfId="0" applyFont="1" applyFill="1" applyBorder="1"/>
    <xf numFmtId="0" fontId="5" fillId="4" borderId="10" xfId="0" applyFont="1" applyFill="1" applyBorder="1"/>
    <xf numFmtId="0" fontId="5" fillId="6" borderId="7" xfId="0" applyFont="1" applyFill="1" applyBorder="1"/>
    <xf numFmtId="0" fontId="5" fillId="6" borderId="8" xfId="0" applyFont="1" applyFill="1" applyBorder="1"/>
    <xf numFmtId="164" fontId="6" fillId="0" borderId="12" xfId="0" applyNumberFormat="1" applyFont="1" applyBorder="1"/>
    <xf numFmtId="164" fontId="6" fillId="0" borderId="10" xfId="0" applyNumberFormat="1" applyFont="1" applyBorder="1"/>
    <xf numFmtId="166" fontId="5" fillId="10" borderId="6" xfId="0" applyNumberFormat="1" applyFont="1" applyFill="1" applyBorder="1" applyAlignment="1">
      <alignment horizontal="right"/>
    </xf>
    <xf numFmtId="0" fontId="5" fillId="4" borderId="9" xfId="0" applyFont="1" applyFill="1" applyBorder="1"/>
    <xf numFmtId="10" fontId="5" fillId="10" borderId="10" xfId="0" applyNumberFormat="1" applyFont="1" applyFill="1" applyBorder="1" applyAlignment="1">
      <alignment horizontal="right"/>
    </xf>
    <xf numFmtId="10" fontId="6" fillId="10" borderId="8" xfId="0" applyNumberFormat="1" applyFont="1" applyFill="1" applyBorder="1" applyAlignment="1">
      <alignment horizontal="right"/>
    </xf>
    <xf numFmtId="10" fontId="6" fillId="10" borderId="10" xfId="0" applyNumberFormat="1" applyFont="1" applyFill="1" applyBorder="1" applyAlignment="1">
      <alignment horizontal="right"/>
    </xf>
    <xf numFmtId="0" fontId="6" fillId="6" borderId="8" xfId="0" applyFont="1" applyFill="1" applyBorder="1" applyAlignment="1">
      <alignment horizontal="right"/>
    </xf>
    <xf numFmtId="167" fontId="6" fillId="0" borderId="0" xfId="0" applyNumberFormat="1" applyFont="1"/>
    <xf numFmtId="0" fontId="21" fillId="9" borderId="17" xfId="0" applyFont="1" applyFill="1" applyBorder="1"/>
    <xf numFmtId="0" fontId="21" fillId="9" borderId="6" xfId="0" applyFont="1" applyFill="1" applyBorder="1"/>
    <xf numFmtId="0" fontId="5" fillId="10" borderId="10" xfId="0" applyFont="1" applyFill="1" applyBorder="1" applyAlignment="1">
      <alignment horizontal="right"/>
    </xf>
    <xf numFmtId="3" fontId="21" fillId="2" borderId="18" xfId="0" applyNumberFormat="1" applyFont="1" applyFill="1" applyBorder="1"/>
    <xf numFmtId="3" fontId="5" fillId="2" borderId="19" xfId="0" applyNumberFormat="1" applyFont="1" applyFill="1" applyBorder="1"/>
    <xf numFmtId="10" fontId="5" fillId="10" borderId="13" xfId="0" applyNumberFormat="1" applyFont="1" applyFill="1" applyBorder="1"/>
    <xf numFmtId="164" fontId="5" fillId="10" borderId="13" xfId="0" applyNumberFormat="1" applyFont="1" applyFill="1" applyBorder="1"/>
    <xf numFmtId="10" fontId="6" fillId="3" borderId="13" xfId="0" applyNumberFormat="1" applyFont="1" applyFill="1" applyBorder="1"/>
    <xf numFmtId="0" fontId="5" fillId="6" borderId="23" xfId="0" applyFont="1" applyFill="1" applyBorder="1"/>
    <xf numFmtId="0" fontId="5" fillId="6" borderId="24" xfId="0" applyFont="1" applyFill="1" applyBorder="1"/>
    <xf numFmtId="0" fontId="5" fillId="6" borderId="25" xfId="0" applyFont="1" applyFill="1" applyBorder="1"/>
    <xf numFmtId="0" fontId="6" fillId="0" borderId="18" xfId="0" applyFont="1" applyBorder="1"/>
    <xf numFmtId="164" fontId="6" fillId="0" borderId="19" xfId="0" applyNumberFormat="1" applyFont="1" applyBorder="1"/>
    <xf numFmtId="164" fontId="6" fillId="0" borderId="26" xfId="0" applyNumberFormat="1" applyFont="1" applyBorder="1"/>
    <xf numFmtId="164" fontId="6" fillId="10" borderId="1" xfId="0" applyNumberFormat="1" applyFont="1" applyFill="1" applyBorder="1"/>
    <xf numFmtId="0" fontId="9" fillId="7" borderId="27" xfId="0" applyFont="1" applyFill="1" applyBorder="1"/>
    <xf numFmtId="0" fontId="9" fillId="7" borderId="28" xfId="0" applyFont="1" applyFill="1" applyBorder="1"/>
    <xf numFmtId="0" fontId="9" fillId="7" borderId="29" xfId="0" applyFont="1" applyFill="1" applyBorder="1"/>
    <xf numFmtId="3" fontId="21" fillId="2" borderId="5" xfId="0" applyNumberFormat="1" applyFont="1" applyFill="1" applyBorder="1"/>
    <xf numFmtId="3" fontId="5" fillId="2" borderId="11" xfId="0" applyNumberFormat="1" applyFont="1" applyFill="1" applyBorder="1"/>
    <xf numFmtId="3" fontId="5" fillId="2" borderId="6" xfId="0" applyNumberFormat="1" applyFont="1" applyFill="1" applyBorder="1"/>
    <xf numFmtId="0" fontId="9" fillId="5" borderId="22" xfId="0" applyFont="1" applyFill="1" applyBorder="1"/>
    <xf numFmtId="164" fontId="5" fillId="10" borderId="22" xfId="0" applyNumberFormat="1" applyFont="1" applyFill="1" applyBorder="1"/>
    <xf numFmtId="3" fontId="6" fillId="3" borderId="13" xfId="0" applyNumberFormat="1" applyFont="1" applyFill="1" applyBorder="1"/>
    <xf numFmtId="0" fontId="9" fillId="7" borderId="0" xfId="0" applyFont="1" applyFill="1"/>
    <xf numFmtId="164" fontId="9" fillId="7" borderId="0" xfId="0" applyNumberFormat="1" applyFont="1" applyFill="1"/>
    <xf numFmtId="0" fontId="6" fillId="0" borderId="30" xfId="0" applyFont="1" applyBorder="1"/>
    <xf numFmtId="164" fontId="6" fillId="0" borderId="31" xfId="0" applyNumberFormat="1" applyFont="1" applyBorder="1"/>
    <xf numFmtId="0" fontId="6" fillId="0" borderId="0" xfId="0" applyFont="1" applyAlignment="1">
      <alignment horizontal="right"/>
    </xf>
    <xf numFmtId="164" fontId="6" fillId="10" borderId="26" xfId="0" applyNumberFormat="1" applyFont="1" applyFill="1" applyBorder="1"/>
    <xf numFmtId="164" fontId="6" fillId="10" borderId="8" xfId="0" applyNumberFormat="1" applyFont="1" applyFill="1" applyBorder="1"/>
    <xf numFmtId="164" fontId="6" fillId="10" borderId="12" xfId="0" applyNumberFormat="1" applyFont="1" applyFill="1" applyBorder="1"/>
    <xf numFmtId="164" fontId="6" fillId="10" borderId="10" xfId="0" applyNumberFormat="1" applyFont="1" applyFill="1" applyBorder="1"/>
    <xf numFmtId="0" fontId="9" fillId="5" borderId="20" xfId="0" applyFont="1" applyFill="1" applyBorder="1"/>
    <xf numFmtId="164" fontId="5" fillId="0" borderId="22" xfId="0" applyNumberFormat="1" applyFont="1" applyBorder="1"/>
    <xf numFmtId="0" fontId="6" fillId="0" borderId="8" xfId="0" applyFont="1" applyBorder="1"/>
    <xf numFmtId="0" fontId="9" fillId="13" borderId="9" xfId="0" applyFont="1" applyFill="1" applyBorder="1"/>
    <xf numFmtId="0" fontId="5" fillId="0" borderId="10" xfId="0" applyFont="1" applyBorder="1"/>
    <xf numFmtId="10" fontId="6" fillId="10" borderId="8" xfId="0" applyNumberFormat="1" applyFont="1" applyFill="1" applyBorder="1"/>
    <xf numFmtId="164" fontId="6" fillId="0" borderId="7" xfId="0" applyNumberFormat="1" applyFont="1" applyBorder="1"/>
    <xf numFmtId="10" fontId="6" fillId="10" borderId="10" xfId="0" applyNumberFormat="1" applyFont="1" applyFill="1" applyBorder="1"/>
    <xf numFmtId="0" fontId="5" fillId="0" borderId="7" xfId="0" applyFont="1" applyBorder="1"/>
    <xf numFmtId="0" fontId="6" fillId="10" borderId="8" xfId="0" applyFont="1" applyFill="1" applyBorder="1"/>
    <xf numFmtId="10" fontId="6" fillId="0" borderId="1" xfId="0" applyNumberFormat="1" applyFont="1" applyBorder="1"/>
    <xf numFmtId="164" fontId="5" fillId="0" borderId="10" xfId="0" applyNumberFormat="1" applyFont="1" applyBorder="1"/>
    <xf numFmtId="0" fontId="5" fillId="0" borderId="9" xfId="0" applyFont="1" applyBorder="1"/>
    <xf numFmtId="0" fontId="6" fillId="10" borderId="12" xfId="0" applyFont="1" applyFill="1" applyBorder="1"/>
    <xf numFmtId="0" fontId="6" fillId="0" borderId="10" xfId="0" applyFont="1" applyBorder="1"/>
    <xf numFmtId="3" fontId="6" fillId="2" borderId="11" xfId="0" applyNumberFormat="1" applyFont="1" applyFill="1" applyBorder="1"/>
    <xf numFmtId="3" fontId="21" fillId="2" borderId="7" xfId="0" applyNumberFormat="1" applyFont="1" applyFill="1" applyBorder="1"/>
    <xf numFmtId="3" fontId="5" fillId="2" borderId="1" xfId="0" applyNumberFormat="1" applyFont="1" applyFill="1" applyBorder="1"/>
    <xf numFmtId="10" fontId="5" fillId="2" borderId="1" xfId="0" applyNumberFormat="1" applyFont="1" applyFill="1" applyBorder="1"/>
    <xf numFmtId="10" fontId="5" fillId="2" borderId="8" xfId="0" applyNumberFormat="1" applyFont="1" applyFill="1" applyBorder="1"/>
    <xf numFmtId="3" fontId="5" fillId="2" borderId="8" xfId="0" applyNumberFormat="1" applyFont="1" applyFill="1" applyBorder="1"/>
    <xf numFmtId="3" fontId="21" fillId="12" borderId="7" xfId="0" applyNumberFormat="1" applyFont="1" applyFill="1" applyBorder="1"/>
    <xf numFmtId="164" fontId="5" fillId="12" borderId="1" xfId="0" applyNumberFormat="1" applyFont="1" applyFill="1" applyBorder="1"/>
    <xf numFmtId="3" fontId="5" fillId="12" borderId="1" xfId="0" applyNumberFormat="1" applyFont="1" applyFill="1" applyBorder="1"/>
    <xf numFmtId="3" fontId="5" fillId="12" borderId="8" xfId="0" applyNumberFormat="1" applyFont="1" applyFill="1" applyBorder="1"/>
    <xf numFmtId="10" fontId="5" fillId="12" borderId="1" xfId="0" applyNumberFormat="1" applyFont="1" applyFill="1" applyBorder="1"/>
    <xf numFmtId="10" fontId="5" fillId="12" borderId="8" xfId="0" applyNumberFormat="1" applyFont="1" applyFill="1" applyBorder="1"/>
    <xf numFmtId="3" fontId="21" fillId="12" borderId="9" xfId="0" applyNumberFormat="1" applyFont="1" applyFill="1" applyBorder="1"/>
    <xf numFmtId="164" fontId="5" fillId="12" borderId="12" xfId="0" applyNumberFormat="1" applyFont="1" applyFill="1" applyBorder="1"/>
    <xf numFmtId="164" fontId="5" fillId="12" borderId="10" xfId="0" applyNumberFormat="1" applyFont="1" applyFill="1" applyBorder="1"/>
    <xf numFmtId="0" fontId="9" fillId="7" borderId="33" xfId="0" applyFont="1" applyFill="1" applyBorder="1"/>
    <xf numFmtId="0" fontId="9" fillId="7" borderId="34" xfId="0" applyFont="1" applyFill="1" applyBorder="1" applyAlignment="1">
      <alignment horizontal="center"/>
    </xf>
    <xf numFmtId="0" fontId="9" fillId="7" borderId="35" xfId="0" applyFont="1" applyFill="1" applyBorder="1" applyAlignment="1">
      <alignment horizontal="center"/>
    </xf>
    <xf numFmtId="0" fontId="11" fillId="3" borderId="33" xfId="0" applyFont="1" applyFill="1" applyBorder="1"/>
    <xf numFmtId="164" fontId="6" fillId="3" borderId="34" xfId="0" applyNumberFormat="1" applyFont="1" applyFill="1" applyBorder="1"/>
    <xf numFmtId="164" fontId="6" fillId="3" borderId="35" xfId="0" applyNumberFormat="1" applyFont="1" applyFill="1" applyBorder="1"/>
    <xf numFmtId="164" fontId="6" fillId="0" borderId="36" xfId="0" applyNumberFormat="1" applyFont="1" applyBorder="1"/>
    <xf numFmtId="164" fontId="6" fillId="10" borderId="19" xfId="0" applyNumberFormat="1" applyFont="1" applyFill="1" applyBorder="1"/>
    <xf numFmtId="3" fontId="6" fillId="0" borderId="19" xfId="0" applyNumberFormat="1" applyFont="1" applyBorder="1"/>
    <xf numFmtId="0" fontId="12" fillId="8" borderId="33" xfId="0" applyFont="1" applyFill="1" applyBorder="1"/>
    <xf numFmtId="164" fontId="6" fillId="8" borderId="34" xfId="0" applyNumberFormat="1" applyFont="1" applyFill="1" applyBorder="1"/>
    <xf numFmtId="164" fontId="6" fillId="8" borderId="35" xfId="0" applyNumberFormat="1" applyFont="1" applyFill="1" applyBorder="1"/>
    <xf numFmtId="0" fontId="6" fillId="0" borderId="37" xfId="0" applyFont="1" applyBorder="1" applyAlignment="1">
      <alignment wrapText="1"/>
    </xf>
    <xf numFmtId="10" fontId="6" fillId="0" borderId="38" xfId="0" applyNumberFormat="1" applyFont="1" applyBorder="1"/>
    <xf numFmtId="164" fontId="6" fillId="0" borderId="38" xfId="0" applyNumberFormat="1" applyFont="1" applyBorder="1"/>
    <xf numFmtId="164" fontId="6" fillId="0" borderId="39" xfId="0" applyNumberFormat="1" applyFont="1" applyBorder="1"/>
    <xf numFmtId="0" fontId="12" fillId="9" borderId="33" xfId="0" applyFont="1" applyFill="1" applyBorder="1" applyAlignment="1">
      <alignment wrapText="1"/>
    </xf>
    <xf numFmtId="164" fontId="6" fillId="9" borderId="34" xfId="0" applyNumberFormat="1" applyFont="1" applyFill="1" applyBorder="1"/>
    <xf numFmtId="164" fontId="6" fillId="9" borderId="35" xfId="0" applyNumberFormat="1" applyFont="1" applyFill="1" applyBorder="1"/>
    <xf numFmtId="0" fontId="6" fillId="0" borderId="18" xfId="0" applyFont="1" applyBorder="1" applyAlignment="1">
      <alignment wrapText="1"/>
    </xf>
    <xf numFmtId="0" fontId="12" fillId="9" borderId="33" xfId="0" applyFont="1" applyFill="1" applyBorder="1"/>
    <xf numFmtId="164" fontId="9" fillId="5" borderId="40" xfId="0" applyNumberFormat="1" applyFont="1" applyFill="1" applyBorder="1"/>
    <xf numFmtId="164" fontId="6" fillId="0" borderId="41" xfId="0" applyNumberFormat="1" applyFont="1" applyBorder="1"/>
    <xf numFmtId="164" fontId="9" fillId="5" borderId="7" xfId="0" applyNumberFormat="1" applyFont="1" applyFill="1" applyBorder="1"/>
    <xf numFmtId="164" fontId="5" fillId="12" borderId="8" xfId="0" applyNumberFormat="1" applyFont="1" applyFill="1" applyBorder="1"/>
    <xf numFmtId="0" fontId="9" fillId="7" borderId="7" xfId="0" applyFont="1" applyFill="1" applyBorder="1"/>
    <xf numFmtId="0" fontId="9" fillId="7" borderId="1" xfId="0" applyFont="1" applyFill="1" applyBorder="1" applyAlignment="1">
      <alignment horizontal="center"/>
    </xf>
    <xf numFmtId="0" fontId="9" fillId="7" borderId="8" xfId="0" applyFont="1" applyFill="1" applyBorder="1" applyAlignment="1">
      <alignment horizontal="center"/>
    </xf>
    <xf numFmtId="3" fontId="6" fillId="0" borderId="1" xfId="0" applyNumberFormat="1" applyFont="1" applyBorder="1"/>
    <xf numFmtId="0" fontId="9" fillId="5" borderId="42" xfId="0" applyFont="1" applyFill="1" applyBorder="1"/>
    <xf numFmtId="10" fontId="5" fillId="10" borderId="42" xfId="0" applyNumberFormat="1" applyFont="1" applyFill="1" applyBorder="1"/>
    <xf numFmtId="164" fontId="5" fillId="10" borderId="42" xfId="0" applyNumberFormat="1" applyFont="1" applyFill="1" applyBorder="1"/>
    <xf numFmtId="0" fontId="23" fillId="0" borderId="0" xfId="0" applyFont="1"/>
    <xf numFmtId="164" fontId="24" fillId="0" borderId="0" xfId="0" applyNumberFormat="1" applyFont="1"/>
    <xf numFmtId="0" fontId="23" fillId="15" borderId="43" xfId="0" applyFont="1" applyFill="1" applyBorder="1" applyAlignment="1">
      <alignment horizontal="right"/>
    </xf>
    <xf numFmtId="10" fontId="23" fillId="15" borderId="44" xfId="1" applyNumberFormat="1" applyFont="1" applyFill="1" applyBorder="1" applyAlignment="1">
      <alignment horizontal="left"/>
    </xf>
    <xf numFmtId="0" fontId="23" fillId="14" borderId="43" xfId="0" applyFont="1" applyFill="1" applyBorder="1" applyAlignment="1">
      <alignment horizontal="right"/>
    </xf>
    <xf numFmtId="10" fontId="0" fillId="14" borderId="44" xfId="0" applyNumberFormat="1" applyFill="1" applyBorder="1" applyAlignment="1">
      <alignment horizontal="left"/>
    </xf>
    <xf numFmtId="0" fontId="25" fillId="0" borderId="0" xfId="0" applyFont="1"/>
    <xf numFmtId="0" fontId="24" fillId="0" borderId="0" xfId="0" applyFont="1"/>
    <xf numFmtId="0" fontId="9" fillId="5" borderId="14" xfId="0" applyFont="1" applyFill="1" applyBorder="1"/>
    <xf numFmtId="0" fontId="9" fillId="5" borderId="45" xfId="0" applyFont="1" applyFill="1" applyBorder="1"/>
    <xf numFmtId="0" fontId="9" fillId="5" borderId="46" xfId="0" applyFont="1" applyFill="1" applyBorder="1"/>
    <xf numFmtId="0" fontId="5" fillId="6" borderId="47" xfId="0" applyFont="1" applyFill="1" applyBorder="1"/>
    <xf numFmtId="0" fontId="6" fillId="0" borderId="48" xfId="0" applyFont="1" applyBorder="1"/>
    <xf numFmtId="0" fontId="6" fillId="0" borderId="4" xfId="0" applyFont="1" applyBorder="1"/>
    <xf numFmtId="10" fontId="5" fillId="16" borderId="49" xfId="0" applyNumberFormat="1" applyFont="1" applyFill="1" applyBorder="1"/>
    <xf numFmtId="0" fontId="0" fillId="17" borderId="50" xfId="0" applyFill="1" applyBorder="1"/>
    <xf numFmtId="0" fontId="5" fillId="16" borderId="51" xfId="0" applyFont="1" applyFill="1" applyBorder="1"/>
    <xf numFmtId="10" fontId="5" fillId="18" borderId="51" xfId="0" applyNumberFormat="1" applyFont="1" applyFill="1" applyBorder="1"/>
    <xf numFmtId="0" fontId="5" fillId="16" borderId="53" xfId="0" applyFont="1" applyFill="1" applyBorder="1"/>
    <xf numFmtId="0" fontId="0" fillId="17" borderId="54" xfId="0" applyFill="1" applyBorder="1"/>
    <xf numFmtId="0" fontId="26" fillId="16" borderId="51" xfId="0" applyFont="1" applyFill="1" applyBorder="1"/>
    <xf numFmtId="0" fontId="27" fillId="0" borderId="0" xfId="0" applyFont="1"/>
    <xf numFmtId="9" fontId="0" fillId="0" borderId="0" xfId="0" applyNumberFormat="1"/>
    <xf numFmtId="168" fontId="0" fillId="0" borderId="0" xfId="0" applyNumberFormat="1"/>
    <xf numFmtId="10" fontId="0" fillId="0" borderId="0" xfId="1" applyNumberFormat="1" applyFont="1" applyAlignment="1"/>
    <xf numFmtId="164" fontId="6" fillId="0" borderId="2" xfId="0" applyNumberFormat="1" applyFont="1" applyBorder="1"/>
    <xf numFmtId="0" fontId="5" fillId="6" borderId="2" xfId="0" applyFont="1" applyFill="1" applyBorder="1"/>
    <xf numFmtId="0" fontId="0" fillId="0" borderId="56" xfId="0" applyBorder="1"/>
    <xf numFmtId="0" fontId="23" fillId="0" borderId="57" xfId="0" applyFont="1" applyBorder="1"/>
    <xf numFmtId="0" fontId="0" fillId="0" borderId="50" xfId="0" applyBorder="1"/>
    <xf numFmtId="0" fontId="23" fillId="0" borderId="58" xfId="0" applyFont="1" applyBorder="1"/>
    <xf numFmtId="0" fontId="0" fillId="0" borderId="59" xfId="0" applyBorder="1"/>
    <xf numFmtId="0" fontId="0" fillId="0" borderId="58" xfId="0" applyBorder="1"/>
    <xf numFmtId="0" fontId="26" fillId="6" borderId="60" xfId="0" applyFont="1" applyFill="1" applyBorder="1"/>
    <xf numFmtId="10" fontId="0" fillId="0" borderId="61" xfId="1" applyNumberFormat="1" applyFont="1" applyBorder="1" applyAlignment="1"/>
    <xf numFmtId="168" fontId="0" fillId="0" borderId="54" xfId="0" applyNumberFormat="1" applyBorder="1"/>
    <xf numFmtId="0" fontId="23" fillId="0" borderId="59" xfId="0" applyFont="1" applyBorder="1"/>
    <xf numFmtId="0" fontId="23" fillId="0" borderId="0" xfId="0" applyFont="1" applyAlignment="1">
      <alignment wrapText="1"/>
    </xf>
    <xf numFmtId="0" fontId="22" fillId="0" borderId="0" xfId="0" applyFont="1" applyAlignment="1">
      <alignment horizontal="right"/>
    </xf>
    <xf numFmtId="0" fontId="26" fillId="19" borderId="62" xfId="0" applyFont="1" applyFill="1" applyBorder="1" applyAlignment="1">
      <alignment horizontal="right"/>
    </xf>
    <xf numFmtId="0" fontId="24" fillId="19" borderId="0" xfId="0" applyFont="1" applyFill="1"/>
    <xf numFmtId="2" fontId="0" fillId="19" borderId="0" xfId="0" applyNumberFormat="1" applyFill="1"/>
    <xf numFmtId="0" fontId="22" fillId="14" borderId="0" xfId="0" applyFont="1" applyFill="1" applyAlignment="1">
      <alignment horizontal="right"/>
    </xf>
    <xf numFmtId="0" fontId="23" fillId="14" borderId="0" xfId="0" applyFont="1" applyFill="1"/>
    <xf numFmtId="169" fontId="0" fillId="14" borderId="0" xfId="0" applyNumberFormat="1" applyFill="1"/>
    <xf numFmtId="169" fontId="0" fillId="0" borderId="0" xfId="0" applyNumberFormat="1"/>
    <xf numFmtId="0" fontId="0" fillId="20" borderId="63" xfId="0" applyFill="1" applyBorder="1"/>
    <xf numFmtId="0" fontId="23" fillId="20" borderId="63" xfId="0" applyFont="1" applyFill="1" applyBorder="1"/>
    <xf numFmtId="168" fontId="0" fillId="20" borderId="63" xfId="0" applyNumberFormat="1" applyFill="1" applyBorder="1"/>
    <xf numFmtId="169" fontId="0" fillId="20" borderId="63" xfId="0" applyNumberFormat="1" applyFill="1" applyBorder="1"/>
    <xf numFmtId="0" fontId="25" fillId="20" borderId="64" xfId="0" applyFont="1" applyFill="1" applyBorder="1"/>
    <xf numFmtId="0" fontId="0" fillId="20" borderId="65" xfId="0" applyFill="1" applyBorder="1"/>
    <xf numFmtId="0" fontId="23" fillId="20" borderId="65" xfId="0" applyFont="1" applyFill="1" applyBorder="1" applyAlignment="1">
      <alignment horizontal="right"/>
    </xf>
    <xf numFmtId="164" fontId="6" fillId="20" borderId="65" xfId="0" applyNumberFormat="1" applyFont="1" applyFill="1" applyBorder="1"/>
    <xf numFmtId="0" fontId="23" fillId="20" borderId="65" xfId="0" applyFont="1" applyFill="1" applyBorder="1"/>
    <xf numFmtId="0" fontId="22" fillId="20" borderId="66" xfId="0" applyFont="1" applyFill="1" applyBorder="1"/>
    <xf numFmtId="0" fontId="25" fillId="20" borderId="67" xfId="0" applyFont="1" applyFill="1" applyBorder="1"/>
    <xf numFmtId="0" fontId="0" fillId="20" borderId="68" xfId="0" applyFill="1" applyBorder="1"/>
    <xf numFmtId="0" fontId="0" fillId="20" borderId="67" xfId="0" applyFill="1" applyBorder="1"/>
    <xf numFmtId="0" fontId="0" fillId="20" borderId="69" xfId="0" applyFill="1" applyBorder="1"/>
    <xf numFmtId="0" fontId="0" fillId="20" borderId="70" xfId="0" applyFill="1" applyBorder="1"/>
    <xf numFmtId="0" fontId="0" fillId="20" borderId="71" xfId="0" applyFill="1" applyBorder="1"/>
    <xf numFmtId="10" fontId="0" fillId="20" borderId="68" xfId="1" applyNumberFormat="1" applyFont="1" applyFill="1" applyBorder="1" applyAlignment="1"/>
    <xf numFmtId="14" fontId="0" fillId="0" borderId="0" xfId="0" applyNumberFormat="1"/>
    <xf numFmtId="3" fontId="30" fillId="0" borderId="0" xfId="0" applyNumberFormat="1" applyFont="1"/>
    <xf numFmtId="164" fontId="24" fillId="0" borderId="62" xfId="0" applyNumberFormat="1" applyFont="1" applyBorder="1"/>
    <xf numFmtId="44" fontId="5" fillId="0" borderId="22" xfId="2" applyFont="1" applyBorder="1"/>
    <xf numFmtId="44" fontId="6" fillId="10" borderId="10" xfId="2" applyFont="1" applyFill="1" applyBorder="1"/>
    <xf numFmtId="44" fontId="0" fillId="0" borderId="0" xfId="2" applyFont="1"/>
    <xf numFmtId="44" fontId="0" fillId="0" borderId="0" xfId="0" applyNumberFormat="1"/>
    <xf numFmtId="10" fontId="0" fillId="0" borderId="0" xfId="1" applyNumberFormat="1" applyFont="1"/>
    <xf numFmtId="0" fontId="0" fillId="14" borderId="0" xfId="0" applyFill="1"/>
    <xf numFmtId="0" fontId="0" fillId="0" borderId="0" xfId="0" applyAlignment="1">
      <alignment wrapText="1"/>
    </xf>
    <xf numFmtId="0" fontId="0" fillId="21" borderId="0" xfId="0" applyFill="1"/>
    <xf numFmtId="10" fontId="5" fillId="22" borderId="1" xfId="0" applyNumberFormat="1" applyFont="1" applyFill="1" applyBorder="1"/>
    <xf numFmtId="0" fontId="0" fillId="23" borderId="0" xfId="0" applyFill="1"/>
    <xf numFmtId="10" fontId="0" fillId="23" borderId="0" xfId="0" applyNumberFormat="1" applyFill="1"/>
    <xf numFmtId="10" fontId="5" fillId="24" borderId="1" xfId="0" applyNumberFormat="1" applyFont="1" applyFill="1" applyBorder="1"/>
    <xf numFmtId="0" fontId="5" fillId="25" borderId="1" xfId="0" applyFont="1" applyFill="1" applyBorder="1"/>
    <xf numFmtId="0" fontId="0" fillId="26" borderId="0" xfId="0" applyFill="1"/>
    <xf numFmtId="10" fontId="0" fillId="23" borderId="0" xfId="1" applyNumberFormat="1" applyFont="1" applyFill="1"/>
    <xf numFmtId="0" fontId="11" fillId="27" borderId="1" xfId="0" applyFont="1" applyFill="1" applyBorder="1"/>
    <xf numFmtId="164" fontId="6" fillId="27" borderId="1" xfId="0" applyNumberFormat="1" applyFont="1" applyFill="1" applyBorder="1"/>
    <xf numFmtId="0" fontId="11" fillId="28" borderId="1" xfId="0" applyFont="1" applyFill="1" applyBorder="1"/>
    <xf numFmtId="164" fontId="6" fillId="28" borderId="1" xfId="0" applyNumberFormat="1" applyFont="1" applyFill="1" applyBorder="1"/>
    <xf numFmtId="0" fontId="5" fillId="0" borderId="1" xfId="0" applyFont="1" applyBorder="1"/>
    <xf numFmtId="0" fontId="6" fillId="29" borderId="1" xfId="0" applyFont="1" applyFill="1" applyBorder="1"/>
    <xf numFmtId="1" fontId="6" fillId="0" borderId="1" xfId="0" applyNumberFormat="1" applyFont="1" applyBorder="1"/>
    <xf numFmtId="8" fontId="0" fillId="0" borderId="0" xfId="0" applyNumberFormat="1"/>
    <xf numFmtId="8" fontId="0" fillId="21" borderId="0" xfId="0" applyNumberFormat="1" applyFill="1"/>
    <xf numFmtId="164" fontId="0" fillId="21" borderId="0" xfId="0" applyNumberFormat="1" applyFill="1"/>
    <xf numFmtId="0" fontId="6" fillId="30" borderId="8" xfId="0" applyFont="1" applyFill="1" applyBorder="1" applyAlignment="1">
      <alignment horizontal="right"/>
    </xf>
    <xf numFmtId="10" fontId="6" fillId="30" borderId="8" xfId="0" applyNumberFormat="1" applyFont="1" applyFill="1" applyBorder="1" applyAlignment="1">
      <alignment horizontal="right"/>
    </xf>
    <xf numFmtId="164" fontId="6" fillId="14" borderId="1" xfId="0" applyNumberFormat="1" applyFont="1" applyFill="1" applyBorder="1"/>
    <xf numFmtId="164" fontId="6" fillId="20" borderId="1" xfId="0" applyNumberFormat="1" applyFont="1" applyFill="1" applyBorder="1"/>
    <xf numFmtId="0" fontId="22" fillId="0" borderId="63" xfId="0" applyFont="1" applyBorder="1"/>
    <xf numFmtId="0" fontId="22" fillId="26" borderId="0" xfId="0" applyFont="1" applyFill="1"/>
    <xf numFmtId="0" fontId="23" fillId="0" borderId="63" xfId="0" applyFont="1" applyBorder="1" applyAlignment="1">
      <alignment horizontal="center"/>
    </xf>
    <xf numFmtId="0" fontId="24" fillId="0" borderId="1" xfId="0" applyFont="1" applyBorder="1" applyAlignment="1">
      <alignment wrapText="1"/>
    </xf>
    <xf numFmtId="10" fontId="5" fillId="31" borderId="6" xfId="0" applyNumberFormat="1" applyFont="1" applyFill="1" applyBorder="1" applyAlignment="1">
      <alignment horizontal="right"/>
    </xf>
    <xf numFmtId="0" fontId="24" fillId="0" borderId="1" xfId="0" applyFont="1" applyBorder="1"/>
    <xf numFmtId="0" fontId="6" fillId="0" borderId="72" xfId="0" applyFont="1" applyBorder="1"/>
    <xf numFmtId="8" fontId="0" fillId="20" borderId="0" xfId="0" applyNumberFormat="1" applyFill="1"/>
    <xf numFmtId="0" fontId="0" fillId="32" borderId="0" xfId="0" applyFill="1"/>
    <xf numFmtId="164" fontId="0" fillId="32" borderId="0" xfId="0" applyNumberFormat="1" applyFill="1"/>
    <xf numFmtId="0" fontId="23" fillId="26" borderId="0" xfId="0" applyFont="1" applyFill="1"/>
    <xf numFmtId="0" fontId="24" fillId="0" borderId="8" xfId="0" applyFont="1" applyBorder="1" applyAlignment="1">
      <alignment horizontal="right"/>
    </xf>
    <xf numFmtId="167" fontId="5" fillId="10" borderId="10" xfId="0" applyNumberFormat="1" applyFont="1" applyFill="1" applyBorder="1" applyAlignment="1">
      <alignment horizontal="right"/>
    </xf>
    <xf numFmtId="0" fontId="24" fillId="0" borderId="7" xfId="0" applyFont="1" applyBorder="1"/>
    <xf numFmtId="170" fontId="0" fillId="26" borderId="0" xfId="0" applyNumberFormat="1" applyFill="1"/>
    <xf numFmtId="0" fontId="23" fillId="23" borderId="0" xfId="0" applyFont="1" applyFill="1"/>
    <xf numFmtId="164" fontId="0" fillId="0" borderId="0" xfId="0" applyNumberFormat="1"/>
    <xf numFmtId="0" fontId="22" fillId="0" borderId="0" xfId="0" applyFont="1" applyAlignment="1">
      <alignment horizontal="center"/>
    </xf>
    <xf numFmtId="0" fontId="0" fillId="14" borderId="0" xfId="0" applyFill="1" applyAlignment="1">
      <alignment horizontal="center" vertical="center" wrapText="1"/>
    </xf>
    <xf numFmtId="0" fontId="10" fillId="0" borderId="3" xfId="0" applyFont="1" applyBorder="1"/>
    <xf numFmtId="0" fontId="10" fillId="0" borderId="4" xfId="0" applyFont="1" applyBorder="1"/>
    <xf numFmtId="171" fontId="0" fillId="0" borderId="0" xfId="1" applyNumberFormat="1" applyFont="1"/>
    <xf numFmtId="0" fontId="0" fillId="0" borderId="0" xfId="0" applyAlignment="1">
      <alignment horizontal="center"/>
    </xf>
    <xf numFmtId="3" fontId="38" fillId="0" borderId="76" xfId="4" applyNumberFormat="1" applyFont="1" applyFill="1" applyBorder="1"/>
    <xf numFmtId="3" fontId="38" fillId="0" borderId="76" xfId="5" applyNumberFormat="1" applyFont="1" applyFill="1" applyBorder="1"/>
    <xf numFmtId="173" fontId="6" fillId="0" borderId="0" xfId="0" applyNumberFormat="1" applyFont="1"/>
    <xf numFmtId="173" fontId="5" fillId="0" borderId="78" xfId="0" applyNumberFormat="1" applyFont="1" applyBorder="1" applyAlignment="1">
      <alignment horizontal="center"/>
    </xf>
    <xf numFmtId="173" fontId="5" fillId="0" borderId="79" xfId="0" applyNumberFormat="1" applyFont="1" applyBorder="1" applyAlignment="1">
      <alignment horizontal="center"/>
    </xf>
    <xf numFmtId="173" fontId="5" fillId="0" borderId="80" xfId="0" applyNumberFormat="1" applyFont="1" applyBorder="1" applyAlignment="1">
      <alignment horizontal="center"/>
    </xf>
    <xf numFmtId="173" fontId="6" fillId="0" borderId="81" xfId="0" applyNumberFormat="1" applyFont="1" applyBorder="1"/>
    <xf numFmtId="173" fontId="6" fillId="0" borderId="50" xfId="0" applyNumberFormat="1" applyFont="1" applyBorder="1"/>
    <xf numFmtId="3" fontId="6" fillId="0" borderId="64" xfId="0" applyNumberFormat="1" applyFont="1" applyBorder="1"/>
    <xf numFmtId="3" fontId="6" fillId="0" borderId="65" xfId="0" applyNumberFormat="1" applyFont="1" applyBorder="1"/>
    <xf numFmtId="173" fontId="6" fillId="0" borderId="38" xfId="0" applyNumberFormat="1" applyFont="1" applyBorder="1"/>
    <xf numFmtId="173" fontId="6" fillId="0" borderId="59" xfId="0" applyNumberFormat="1" applyFont="1" applyBorder="1"/>
    <xf numFmtId="3" fontId="6" fillId="0" borderId="67" xfId="0" applyNumberFormat="1" applyFont="1" applyBorder="1"/>
    <xf numFmtId="3" fontId="6" fillId="0" borderId="63" xfId="0" applyNumberFormat="1" applyFont="1" applyBorder="1"/>
    <xf numFmtId="3" fontId="6" fillId="0" borderId="63" xfId="0" applyNumberFormat="1" applyFont="1" applyBorder="1" applyAlignment="1">
      <alignment horizontal="right"/>
    </xf>
    <xf numFmtId="3" fontId="6" fillId="0" borderId="68" xfId="0" applyNumberFormat="1" applyFont="1" applyBorder="1" applyAlignment="1">
      <alignment horizontal="right"/>
    </xf>
    <xf numFmtId="173" fontId="6" fillId="0" borderId="83" xfId="0" applyNumberFormat="1" applyFont="1" applyBorder="1"/>
    <xf numFmtId="173" fontId="6" fillId="0" borderId="54" xfId="0" applyNumberFormat="1" applyFont="1" applyBorder="1"/>
    <xf numFmtId="3" fontId="6" fillId="0" borderId="84" xfId="0" applyNumberFormat="1" applyFont="1" applyBorder="1"/>
    <xf numFmtId="3" fontId="6" fillId="0" borderId="85" xfId="0" applyNumberFormat="1" applyFont="1" applyBorder="1" applyAlignment="1">
      <alignment horizontal="right"/>
    </xf>
    <xf numFmtId="3" fontId="6" fillId="0" borderId="86" xfId="0" applyNumberFormat="1" applyFont="1" applyBorder="1" applyAlignment="1">
      <alignment horizontal="right"/>
    </xf>
    <xf numFmtId="173" fontId="6" fillId="0" borderId="57" xfId="0" applyNumberFormat="1" applyFont="1" applyBorder="1"/>
    <xf numFmtId="173" fontId="6" fillId="0" borderId="87" xfId="0" applyNumberFormat="1" applyFont="1" applyBorder="1"/>
    <xf numFmtId="3" fontId="6" fillId="0" borderId="88" xfId="0" applyNumberFormat="1" applyFont="1" applyBorder="1"/>
    <xf numFmtId="3" fontId="6" fillId="0" borderId="69" xfId="0" applyNumberFormat="1" applyFont="1" applyBorder="1"/>
    <xf numFmtId="3" fontId="6" fillId="0" borderId="60" xfId="0" applyNumberFormat="1" applyFont="1" applyBorder="1" applyAlignment="1">
      <alignment horizontal="right"/>
    </xf>
    <xf numFmtId="3" fontId="6" fillId="0" borderId="90" xfId="0" applyNumberFormat="1" applyFont="1" applyBorder="1" applyAlignment="1">
      <alignment horizontal="right"/>
    </xf>
    <xf numFmtId="3" fontId="6" fillId="0" borderId="54" xfId="0" applyNumberFormat="1" applyFont="1" applyBorder="1" applyAlignment="1">
      <alignment horizontal="right"/>
    </xf>
    <xf numFmtId="3" fontId="6" fillId="0" borderId="78" xfId="0" applyNumberFormat="1" applyFont="1" applyBorder="1" applyAlignment="1">
      <alignment horizontal="right"/>
    </xf>
    <xf numFmtId="3" fontId="6" fillId="0" borderId="79" xfId="0" applyNumberFormat="1" applyFont="1" applyBorder="1"/>
    <xf numFmtId="3" fontId="6" fillId="0" borderId="80" xfId="0" applyNumberFormat="1" applyFont="1" applyBorder="1"/>
    <xf numFmtId="3" fontId="41" fillId="0" borderId="0" xfId="0" applyNumberFormat="1" applyFont="1"/>
    <xf numFmtId="0" fontId="37" fillId="0" borderId="94" xfId="0" applyFont="1" applyBorder="1"/>
    <xf numFmtId="4" fontId="0" fillId="0" borderId="95" xfId="0" applyNumberFormat="1" applyBorder="1"/>
    <xf numFmtId="0" fontId="0" fillId="0" borderId="0" xfId="0" applyAlignment="1">
      <alignment horizontal="center" wrapText="1"/>
    </xf>
    <xf numFmtId="0" fontId="6" fillId="0" borderId="96" xfId="0" applyFont="1" applyBorder="1"/>
    <xf numFmtId="3" fontId="6" fillId="21" borderId="79" xfId="0" applyNumberFormat="1" applyFont="1" applyFill="1" applyBorder="1"/>
    <xf numFmtId="3" fontId="40" fillId="42" borderId="93" xfId="0" applyNumberFormat="1" applyFont="1" applyFill="1" applyBorder="1"/>
    <xf numFmtId="0" fontId="0" fillId="0" borderId="63" xfId="0" applyBorder="1"/>
    <xf numFmtId="174" fontId="6" fillId="0" borderId="1" xfId="0" applyNumberFormat="1" applyFont="1" applyBorder="1"/>
    <xf numFmtId="10" fontId="5" fillId="0" borderId="1" xfId="0" applyNumberFormat="1" applyFont="1" applyBorder="1"/>
    <xf numFmtId="0" fontId="42" fillId="0" borderId="63" xfId="0" applyFont="1" applyBorder="1"/>
    <xf numFmtId="10" fontId="43" fillId="0" borderId="63" xfId="0" applyNumberFormat="1" applyFont="1" applyBorder="1"/>
    <xf numFmtId="0" fontId="44" fillId="0" borderId="0" xfId="0" applyFont="1"/>
    <xf numFmtId="0" fontId="42" fillId="43" borderId="43" xfId="0" applyFont="1" applyFill="1" applyBorder="1"/>
    <xf numFmtId="10" fontId="45" fillId="0" borderId="44" xfId="4" applyNumberFormat="1" applyFont="1" applyFill="1" applyBorder="1"/>
    <xf numFmtId="0" fontId="47" fillId="26" borderId="63" xfId="0" applyFont="1" applyFill="1" applyBorder="1"/>
    <xf numFmtId="0" fontId="7" fillId="0" borderId="0" xfId="0" applyFont="1"/>
    <xf numFmtId="3" fontId="38" fillId="0" borderId="0" xfId="4" applyNumberFormat="1" applyFont="1" applyFill="1" applyBorder="1"/>
    <xf numFmtId="3" fontId="38" fillId="0" borderId="0" xfId="5" applyNumberFormat="1" applyFont="1" applyFill="1" applyBorder="1"/>
    <xf numFmtId="0" fontId="40" fillId="0" borderId="1" xfId="0" applyFont="1" applyBorder="1" applyAlignment="1">
      <alignment horizontal="center"/>
    </xf>
    <xf numFmtId="174" fontId="41" fillId="0" borderId="1" xfId="0" applyNumberFormat="1" applyFont="1" applyBorder="1" applyAlignment="1">
      <alignment horizontal="center"/>
    </xf>
    <xf numFmtId="0" fontId="7" fillId="0" borderId="56" xfId="0" applyFont="1" applyBorder="1"/>
    <xf numFmtId="0" fontId="0" fillId="0" borderId="57" xfId="0" applyBorder="1"/>
    <xf numFmtId="0" fontId="7" fillId="0" borderId="59" xfId="0" applyFont="1" applyBorder="1"/>
    <xf numFmtId="0" fontId="7" fillId="0" borderId="58" xfId="0" applyFont="1" applyBorder="1"/>
    <xf numFmtId="170" fontId="0" fillId="0" borderId="59" xfId="0" applyNumberFormat="1" applyBorder="1"/>
    <xf numFmtId="0" fontId="0" fillId="0" borderId="75" xfId="0" applyBorder="1"/>
    <xf numFmtId="0" fontId="0" fillId="0" borderId="61" xfId="0" applyBorder="1"/>
    <xf numFmtId="0" fontId="0" fillId="21" borderId="54" xfId="0" applyFill="1" applyBorder="1"/>
    <xf numFmtId="0" fontId="0" fillId="44" borderId="0" xfId="0" applyFill="1"/>
    <xf numFmtId="2" fontId="0" fillId="44" borderId="0" xfId="0" applyNumberFormat="1" applyFill="1"/>
    <xf numFmtId="0" fontId="7" fillId="44" borderId="0" xfId="0" applyFont="1" applyFill="1"/>
    <xf numFmtId="0" fontId="41" fillId="0" borderId="1" xfId="0" applyFont="1" applyBorder="1" applyAlignment="1">
      <alignment horizontal="center"/>
    </xf>
    <xf numFmtId="0" fontId="7" fillId="0" borderId="0" xfId="0" applyFont="1" applyAlignment="1">
      <alignment horizontal="center"/>
    </xf>
    <xf numFmtId="0" fontId="0" fillId="0" borderId="0" xfId="0" applyAlignment="1">
      <alignment horizontal="center" vertical="center" wrapText="1"/>
    </xf>
    <xf numFmtId="0" fontId="6" fillId="0" borderId="100" xfId="0" applyFont="1" applyBorder="1"/>
    <xf numFmtId="0" fontId="5" fillId="6" borderId="63" xfId="0" applyFont="1" applyFill="1" applyBorder="1"/>
    <xf numFmtId="0" fontId="6" fillId="0" borderId="63" xfId="0" applyFont="1" applyBorder="1"/>
    <xf numFmtId="164" fontId="6" fillId="0" borderId="63" xfId="0" applyNumberFormat="1" applyFont="1" applyBorder="1"/>
    <xf numFmtId="0" fontId="0" fillId="45" borderId="0" xfId="0" applyFill="1"/>
    <xf numFmtId="8" fontId="22" fillId="0" borderId="0" xfId="0" applyNumberFormat="1" applyFont="1" applyAlignment="1">
      <alignment horizontal="center"/>
    </xf>
    <xf numFmtId="0" fontId="22" fillId="0" borderId="0" xfId="0" applyFont="1"/>
    <xf numFmtId="173" fontId="6" fillId="44" borderId="87" xfId="0" applyNumberFormat="1" applyFont="1" applyFill="1" applyBorder="1"/>
    <xf numFmtId="0" fontId="7" fillId="0" borderId="0" xfId="0" applyFont="1" applyAlignment="1">
      <alignment horizontal="right"/>
    </xf>
    <xf numFmtId="0" fontId="51" fillId="21" borderId="0" xfId="0" applyFont="1" applyFill="1" applyAlignment="1">
      <alignment horizontal="right"/>
    </xf>
    <xf numFmtId="44" fontId="0" fillId="21" borderId="0" xfId="2" applyFont="1" applyFill="1"/>
    <xf numFmtId="0" fontId="7" fillId="46" borderId="0" xfId="0" applyFont="1" applyFill="1"/>
    <xf numFmtId="0" fontId="0" fillId="46" borderId="0" xfId="0" applyFill="1"/>
    <xf numFmtId="0" fontId="0" fillId="0" borderId="0" xfId="11" applyFont="1"/>
    <xf numFmtId="0" fontId="4" fillId="0" borderId="0" xfId="11"/>
    <xf numFmtId="0" fontId="6" fillId="0" borderId="102" xfId="11" applyFont="1" applyBorder="1"/>
    <xf numFmtId="174" fontId="15" fillId="41" borderId="16" xfId="11" applyNumberFormat="1" applyFont="1" applyFill="1" applyBorder="1" applyAlignment="1">
      <alignment horizontal="center"/>
    </xf>
    <xf numFmtId="174" fontId="52" fillId="37" borderId="103" xfId="7" applyNumberFormat="1" applyFont="1" applyBorder="1"/>
    <xf numFmtId="174" fontId="16" fillId="0" borderId="104" xfId="11" applyNumberFormat="1" applyFont="1" applyBorder="1" applyAlignment="1">
      <alignment horizontal="right"/>
    </xf>
    <xf numFmtId="174" fontId="20" fillId="0" borderId="104" xfId="11" applyNumberFormat="1" applyFont="1" applyBorder="1" applyAlignment="1">
      <alignment horizontal="right"/>
    </xf>
    <xf numFmtId="174" fontId="52" fillId="37" borderId="103" xfId="7" applyNumberFormat="1" applyFont="1" applyBorder="1" applyAlignment="1">
      <alignment horizontal="right"/>
    </xf>
    <xf numFmtId="176" fontId="20" fillId="0" borderId="104" xfId="11" applyNumberFormat="1" applyFont="1" applyBorder="1" applyAlignment="1">
      <alignment horizontal="right"/>
    </xf>
    <xf numFmtId="174" fontId="20" fillId="41" borderId="105" xfId="11" applyNumberFormat="1" applyFont="1" applyFill="1" applyBorder="1" applyAlignment="1">
      <alignment horizontal="right"/>
    </xf>
    <xf numFmtId="174" fontId="14" fillId="41" borderId="63" xfId="11" applyNumberFormat="1" applyFont="1" applyFill="1" applyBorder="1" applyAlignment="1">
      <alignment horizontal="center"/>
    </xf>
    <xf numFmtId="174" fontId="52" fillId="37" borderId="63" xfId="7" applyNumberFormat="1" applyFont="1" applyBorder="1" applyAlignment="1">
      <alignment horizontal="center"/>
    </xf>
    <xf numFmtId="174" fontId="53" fillId="0" borderId="63" xfId="11" applyNumberFormat="1" applyFont="1" applyBorder="1" applyAlignment="1">
      <alignment horizontal="center"/>
    </xf>
    <xf numFmtId="174" fontId="44" fillId="0" borderId="63" xfId="11" applyNumberFormat="1" applyFont="1" applyBorder="1" applyAlignment="1">
      <alignment horizontal="center"/>
    </xf>
    <xf numFmtId="0" fontId="6" fillId="0" borderId="63" xfId="11" applyFont="1" applyBorder="1"/>
    <xf numFmtId="174" fontId="14" fillId="41" borderId="63" xfId="11" applyNumberFormat="1" applyFont="1" applyFill="1" applyBorder="1"/>
    <xf numFmtId="0" fontId="6" fillId="48" borderId="1" xfId="0" applyFont="1" applyFill="1" applyBorder="1"/>
    <xf numFmtId="0" fontId="6" fillId="48" borderId="0" xfId="0" applyFont="1" applyFill="1"/>
    <xf numFmtId="0" fontId="37" fillId="49" borderId="106" xfId="0" applyFont="1" applyFill="1" applyBorder="1" applyAlignment="1">
      <alignment horizontal="center" vertical="center"/>
    </xf>
    <xf numFmtId="0" fontId="37" fillId="49" borderId="107" xfId="0" applyFont="1" applyFill="1" applyBorder="1" applyAlignment="1">
      <alignment horizontal="center" vertical="center"/>
    </xf>
    <xf numFmtId="0" fontId="37" fillId="49" borderId="108" xfId="0" applyFont="1" applyFill="1" applyBorder="1" applyAlignment="1">
      <alignment horizontal="center" vertical="center"/>
    </xf>
    <xf numFmtId="0" fontId="37" fillId="49" borderId="108" xfId="0" applyFont="1" applyFill="1" applyBorder="1" applyAlignment="1">
      <alignment horizontal="center" vertical="center" wrapText="1"/>
    </xf>
    <xf numFmtId="0" fontId="37" fillId="49" borderId="109" xfId="0" applyFont="1" applyFill="1" applyBorder="1" applyAlignment="1">
      <alignment horizontal="center" vertical="center"/>
    </xf>
    <xf numFmtId="0" fontId="4" fillId="0" borderId="110" xfId="0" applyFont="1" applyBorder="1"/>
    <xf numFmtId="44" fontId="4" fillId="0" borderId="95" xfId="2" applyFont="1" applyBorder="1"/>
    <xf numFmtId="0" fontId="4" fillId="0" borderId="63" xfId="0" applyFont="1" applyBorder="1"/>
    <xf numFmtId="9" fontId="4" fillId="0" borderId="63" xfId="1" applyFont="1" applyBorder="1"/>
    <xf numFmtId="2" fontId="4" fillId="0" borderId="63" xfId="0" applyNumberFormat="1" applyFont="1" applyBorder="1"/>
    <xf numFmtId="177" fontId="4" fillId="0" borderId="63" xfId="0" applyNumberFormat="1" applyFont="1" applyBorder="1"/>
    <xf numFmtId="177" fontId="4" fillId="0" borderId="94" xfId="0" applyNumberFormat="1" applyFont="1" applyBorder="1"/>
    <xf numFmtId="0" fontId="34" fillId="36" borderId="73" xfId="6" applyAlignment="1">
      <alignment horizontal="center" vertical="center" wrapText="1"/>
    </xf>
    <xf numFmtId="0" fontId="4" fillId="0" borderId="113" xfId="0" applyFont="1" applyBorder="1"/>
    <xf numFmtId="44" fontId="4" fillId="0" borderId="114" xfId="2" applyFont="1" applyBorder="1"/>
    <xf numFmtId="0" fontId="4" fillId="0" borderId="70" xfId="0" applyFont="1" applyBorder="1"/>
    <xf numFmtId="9" fontId="4" fillId="0" borderId="70" xfId="1" applyFont="1" applyBorder="1"/>
    <xf numFmtId="44" fontId="35" fillId="37" borderId="73" xfId="2" applyFont="1" applyFill="1" applyBorder="1" applyAlignment="1"/>
    <xf numFmtId="0" fontId="34" fillId="36" borderId="73" xfId="6" applyAlignment="1"/>
    <xf numFmtId="0" fontId="7" fillId="48" borderId="0" xfId="0" applyFont="1" applyFill="1"/>
    <xf numFmtId="0" fontId="0" fillId="48" borderId="0" xfId="0" applyFill="1"/>
    <xf numFmtId="0" fontId="5" fillId="52" borderId="13" xfId="11" applyFont="1" applyFill="1" applyBorder="1" applyAlignment="1">
      <alignment horizontal="center"/>
    </xf>
    <xf numFmtId="0" fontId="6" fillId="0" borderId="0" xfId="11" applyFont="1"/>
    <xf numFmtId="10" fontId="43" fillId="53" borderId="32" xfId="11" applyNumberFormat="1" applyFont="1" applyFill="1" applyBorder="1" applyAlignment="1">
      <alignment horizontal="center"/>
    </xf>
    <xf numFmtId="0" fontId="43" fillId="53" borderId="102" xfId="11" applyFont="1" applyFill="1" applyBorder="1" applyAlignment="1">
      <alignment horizontal="center"/>
    </xf>
    <xf numFmtId="0" fontId="6" fillId="0" borderId="17" xfId="11" applyFont="1" applyBorder="1" applyAlignment="1">
      <alignment horizontal="center"/>
    </xf>
    <xf numFmtId="172" fontId="43" fillId="0" borderId="32" xfId="11" applyNumberFormat="1" applyFont="1" applyBorder="1" applyAlignment="1">
      <alignment horizontal="center"/>
    </xf>
    <xf numFmtId="0" fontId="6" fillId="0" borderId="55" xfId="11" applyFont="1" applyBorder="1" applyAlignment="1">
      <alignment horizontal="center"/>
    </xf>
    <xf numFmtId="10" fontId="6" fillId="0" borderId="102" xfId="11" applyNumberFormat="1" applyFont="1" applyBorder="1" applyAlignment="1">
      <alignment horizontal="center"/>
    </xf>
    <xf numFmtId="0" fontId="6" fillId="0" borderId="91" xfId="11" applyFont="1" applyBorder="1" applyAlignment="1">
      <alignment horizontal="center"/>
    </xf>
    <xf numFmtId="0" fontId="6" fillId="0" borderId="93" xfId="11" applyFont="1" applyBorder="1" applyAlignment="1">
      <alignment horizontal="center"/>
    </xf>
    <xf numFmtId="10" fontId="42" fillId="29" borderId="93" xfId="11" applyNumberFormat="1" applyFont="1" applyFill="1" applyBorder="1" applyAlignment="1">
      <alignment horizontal="center"/>
    </xf>
    <xf numFmtId="10" fontId="46" fillId="54" borderId="59" xfId="1" applyNumberFormat="1" applyFont="1" applyFill="1" applyBorder="1" applyAlignment="1">
      <alignment horizontal="right"/>
    </xf>
    <xf numFmtId="0" fontId="46" fillId="54" borderId="59" xfId="0" applyFont="1" applyFill="1" applyBorder="1" applyAlignment="1">
      <alignment horizontal="right"/>
    </xf>
    <xf numFmtId="0" fontId="6" fillId="41" borderId="17" xfId="11" applyFont="1" applyFill="1" applyBorder="1" applyAlignment="1">
      <alignment horizontal="center"/>
    </xf>
    <xf numFmtId="0" fontId="6" fillId="41" borderId="77" xfId="11" applyFont="1" applyFill="1" applyBorder="1" applyAlignment="1">
      <alignment horizontal="center"/>
    </xf>
    <xf numFmtId="0" fontId="6" fillId="41" borderId="32" xfId="11" applyFont="1" applyFill="1" applyBorder="1" applyAlignment="1">
      <alignment horizontal="center"/>
    </xf>
    <xf numFmtId="0" fontId="6" fillId="41" borderId="55" xfId="11" applyFont="1" applyFill="1" applyBorder="1" applyAlignment="1">
      <alignment horizontal="center"/>
    </xf>
    <xf numFmtId="172" fontId="6" fillId="0" borderId="0" xfId="11" applyNumberFormat="1" applyFont="1" applyAlignment="1">
      <alignment horizontal="right"/>
    </xf>
    <xf numFmtId="172" fontId="6" fillId="0" borderId="102" xfId="11" applyNumberFormat="1" applyFont="1" applyBorder="1" applyAlignment="1">
      <alignment horizontal="right"/>
    </xf>
    <xf numFmtId="10" fontId="37" fillId="29" borderId="54" xfId="11" applyNumberFormat="1" applyFont="1" applyFill="1" applyBorder="1" applyAlignment="1">
      <alignment horizontal="center"/>
    </xf>
    <xf numFmtId="9" fontId="4" fillId="0" borderId="0" xfId="11" applyNumberFormat="1"/>
    <xf numFmtId="0" fontId="5" fillId="55" borderId="91" xfId="11" applyFont="1" applyFill="1" applyBorder="1" applyAlignment="1">
      <alignment horizontal="center"/>
    </xf>
    <xf numFmtId="172" fontId="6" fillId="55" borderId="92" xfId="11" applyNumberFormat="1" applyFont="1" applyFill="1" applyBorder="1" applyAlignment="1">
      <alignment horizontal="right"/>
    </xf>
    <xf numFmtId="172" fontId="6" fillId="55" borderId="93" xfId="11" applyNumberFormat="1" applyFont="1" applyFill="1" applyBorder="1" applyAlignment="1">
      <alignment horizontal="right"/>
    </xf>
    <xf numFmtId="0" fontId="6" fillId="48" borderId="100" xfId="0" applyFont="1" applyFill="1" applyBorder="1"/>
    <xf numFmtId="0" fontId="24" fillId="48" borderId="1" xfId="0" applyFont="1" applyFill="1" applyBorder="1" applyAlignment="1">
      <alignment wrapText="1"/>
    </xf>
    <xf numFmtId="0" fontId="20" fillId="0" borderId="0" xfId="11" applyFont="1"/>
    <xf numFmtId="0" fontId="55" fillId="35" borderId="0" xfId="12"/>
    <xf numFmtId="177" fontId="55" fillId="35" borderId="0" xfId="12" applyNumberFormat="1"/>
    <xf numFmtId="0" fontId="17" fillId="56" borderId="1" xfId="11" applyFont="1" applyFill="1" applyBorder="1"/>
    <xf numFmtId="0" fontId="16" fillId="0" borderId="0" xfId="11" applyFont="1"/>
    <xf numFmtId="0" fontId="17" fillId="0" borderId="0" xfId="11" applyFont="1"/>
    <xf numFmtId="0" fontId="17" fillId="58" borderId="2" xfId="11" applyFont="1" applyFill="1" applyBorder="1" applyAlignment="1">
      <alignment horizontal="center"/>
    </xf>
    <xf numFmtId="0" fontId="17" fillId="58" borderId="1" xfId="11" applyFont="1" applyFill="1" applyBorder="1" applyAlignment="1">
      <alignment horizontal="center"/>
    </xf>
    <xf numFmtId="0" fontId="17" fillId="58" borderId="4" xfId="11" applyFont="1" applyFill="1" applyBorder="1" applyAlignment="1">
      <alignment horizontal="center"/>
    </xf>
    <xf numFmtId="0" fontId="17" fillId="58" borderId="3" xfId="11" applyFont="1" applyFill="1" applyBorder="1" applyAlignment="1">
      <alignment horizontal="center"/>
    </xf>
    <xf numFmtId="0" fontId="56" fillId="46" borderId="0" xfId="11" applyFont="1" applyFill="1"/>
    <xf numFmtId="0" fontId="55" fillId="35" borderId="73" xfId="12" applyBorder="1"/>
    <xf numFmtId="0" fontId="56" fillId="0" borderId="0" xfId="11" applyFont="1" applyAlignment="1">
      <alignment horizontal="left"/>
    </xf>
    <xf numFmtId="0" fontId="16" fillId="0" borderId="0" xfId="11" applyFont="1" applyAlignment="1">
      <alignment horizontal="left"/>
    </xf>
    <xf numFmtId="9" fontId="55" fillId="35" borderId="0" xfId="12" applyNumberFormat="1" applyAlignment="1">
      <alignment horizontal="right"/>
    </xf>
    <xf numFmtId="177" fontId="16" fillId="0" borderId="0" xfId="11" applyNumberFormat="1" applyFont="1"/>
    <xf numFmtId="0" fontId="16" fillId="0" borderId="99" xfId="11" applyFont="1" applyBorder="1" applyAlignment="1">
      <alignment horizontal="left"/>
    </xf>
    <xf numFmtId="9" fontId="55" fillId="35" borderId="99" xfId="12" applyNumberFormat="1" applyBorder="1"/>
    <xf numFmtId="0" fontId="16" fillId="0" borderId="99" xfId="11" applyFont="1" applyBorder="1"/>
    <xf numFmtId="177" fontId="16" fillId="0" borderId="99" xfId="11" applyNumberFormat="1" applyFont="1" applyBorder="1"/>
    <xf numFmtId="9" fontId="32" fillId="33" borderId="0" xfId="4" applyNumberFormat="1"/>
    <xf numFmtId="0" fontId="43" fillId="0" borderId="0" xfId="11" applyFont="1"/>
    <xf numFmtId="9" fontId="55" fillId="35" borderId="0" xfId="12" applyNumberFormat="1"/>
    <xf numFmtId="179" fontId="16" fillId="0" borderId="0" xfId="11" applyNumberFormat="1" applyFont="1"/>
    <xf numFmtId="0" fontId="16" fillId="0" borderId="117" xfId="11" applyFont="1" applyBorder="1"/>
    <xf numFmtId="166" fontId="55" fillId="35" borderId="117" xfId="12" applyNumberFormat="1" applyBorder="1"/>
    <xf numFmtId="179" fontId="16" fillId="0" borderId="117" xfId="11" applyNumberFormat="1" applyFont="1" applyBorder="1"/>
    <xf numFmtId="0" fontId="17" fillId="58" borderId="63" xfId="11" applyFont="1" applyFill="1" applyBorder="1" applyAlignment="1">
      <alignment horizontal="center"/>
    </xf>
    <xf numFmtId="0" fontId="57" fillId="0" borderId="0" xfId="11" applyFont="1"/>
    <xf numFmtId="0" fontId="55" fillId="32" borderId="0" xfId="12" applyFill="1"/>
    <xf numFmtId="0" fontId="16" fillId="32" borderId="0" xfId="11" applyFont="1" applyFill="1"/>
    <xf numFmtId="0" fontId="4" fillId="32" borderId="0" xfId="11" applyFill="1"/>
    <xf numFmtId="0" fontId="15" fillId="0" borderId="0" xfId="11" applyFont="1"/>
    <xf numFmtId="177" fontId="16" fillId="0" borderId="0" xfId="13" applyFont="1"/>
    <xf numFmtId="177" fontId="16" fillId="0" borderId="63" xfId="11" applyNumberFormat="1" applyFont="1" applyBorder="1"/>
    <xf numFmtId="44" fontId="16" fillId="0" borderId="63" xfId="11" applyNumberFormat="1" applyFont="1" applyBorder="1"/>
    <xf numFmtId="0" fontId="17" fillId="0" borderId="2" xfId="11" applyFont="1" applyBorder="1"/>
    <xf numFmtId="0" fontId="17" fillId="0" borderId="118" xfId="11" applyFont="1" applyBorder="1"/>
    <xf numFmtId="0" fontId="17" fillId="0" borderId="119" xfId="11" applyFont="1" applyBorder="1"/>
    <xf numFmtId="0" fontId="17" fillId="59" borderId="19" xfId="11" applyFont="1" applyFill="1" applyBorder="1"/>
    <xf numFmtId="0" fontId="17" fillId="0" borderId="48" xfId="11" applyFont="1" applyBorder="1"/>
    <xf numFmtId="0" fontId="17" fillId="59" borderId="19" xfId="13" applyNumberFormat="1" applyFont="1" applyFill="1" applyBorder="1"/>
    <xf numFmtId="177" fontId="43" fillId="0" borderId="0" xfId="13" applyFont="1"/>
    <xf numFmtId="0" fontId="32" fillId="33" borderId="0" xfId="4"/>
    <xf numFmtId="177" fontId="32" fillId="33" borderId="0" xfId="13" applyFont="1" applyFill="1"/>
    <xf numFmtId="177" fontId="0" fillId="0" borderId="0" xfId="13" applyFont="1"/>
    <xf numFmtId="0" fontId="55" fillId="35" borderId="0" xfId="12" applyAlignment="1"/>
    <xf numFmtId="0" fontId="43" fillId="60" borderId="0" xfId="11" applyFont="1" applyFill="1"/>
    <xf numFmtId="0" fontId="36" fillId="38" borderId="74" xfId="8" applyAlignment="1"/>
    <xf numFmtId="10" fontId="55" fillId="35" borderId="0" xfId="12" applyNumberFormat="1" applyAlignment="1"/>
    <xf numFmtId="177" fontId="55" fillId="35" borderId="0" xfId="12" applyNumberFormat="1" applyAlignment="1"/>
    <xf numFmtId="177" fontId="36" fillId="38" borderId="74" xfId="8" applyNumberFormat="1" applyAlignment="1"/>
    <xf numFmtId="177" fontId="32" fillId="33" borderId="0" xfId="4" applyNumberFormat="1" applyAlignment="1"/>
    <xf numFmtId="0" fontId="55" fillId="35" borderId="0" xfId="12" applyAlignment="1">
      <alignment horizontal="right"/>
    </xf>
    <xf numFmtId="0" fontId="58" fillId="49" borderId="120" xfId="11" applyFont="1" applyFill="1" applyBorder="1" applyAlignment="1">
      <alignment horizontal="center" vertical="center"/>
    </xf>
    <xf numFmtId="0" fontId="58" fillId="49" borderId="108" xfId="11" applyFont="1" applyFill="1" applyBorder="1" applyAlignment="1">
      <alignment horizontal="center" vertical="center"/>
    </xf>
    <xf numFmtId="0" fontId="58" fillId="49" borderId="121" xfId="11" applyFont="1" applyFill="1" applyBorder="1" applyAlignment="1">
      <alignment horizontal="center" vertical="center"/>
    </xf>
    <xf numFmtId="0" fontId="4" fillId="0" borderId="67" xfId="11" applyBorder="1"/>
    <xf numFmtId="0" fontId="4" fillId="0" borderId="63" xfId="11" applyBorder="1"/>
    <xf numFmtId="177" fontId="4" fillId="0" borderId="63" xfId="13" applyFont="1" applyFill="1" applyBorder="1"/>
    <xf numFmtId="9" fontId="4" fillId="0" borderId="63" xfId="14" applyFont="1" applyFill="1" applyBorder="1"/>
    <xf numFmtId="177" fontId="4" fillId="0" borderId="68" xfId="13" applyFont="1" applyFill="1" applyBorder="1" applyAlignment="1">
      <alignment horizontal="center"/>
    </xf>
    <xf numFmtId="9" fontId="4" fillId="0" borderId="63" xfId="11" applyNumberFormat="1" applyBorder="1"/>
    <xf numFmtId="0" fontId="4" fillId="0" borderId="69" xfId="11" applyBorder="1"/>
    <xf numFmtId="0" fontId="4" fillId="0" borderId="70" xfId="11" applyBorder="1"/>
    <xf numFmtId="177" fontId="4" fillId="0" borderId="70" xfId="13" applyFont="1" applyFill="1" applyBorder="1"/>
    <xf numFmtId="177" fontId="4" fillId="0" borderId="71" xfId="13" applyFont="1" applyFill="1" applyBorder="1" applyAlignment="1">
      <alignment horizontal="center"/>
    </xf>
    <xf numFmtId="0" fontId="58" fillId="0" borderId="0" xfId="11" applyFont="1"/>
    <xf numFmtId="0" fontId="58" fillId="50" borderId="43" xfId="11" applyFont="1" applyFill="1" applyBorder="1" applyAlignment="1">
      <alignment horizontal="right"/>
    </xf>
    <xf numFmtId="177" fontId="58" fillId="50" borderId="122" xfId="13" applyFont="1" applyFill="1" applyBorder="1" applyAlignment="1">
      <alignment horizontal="center"/>
    </xf>
    <xf numFmtId="0" fontId="37" fillId="49" borderId="106" xfId="11" applyFont="1" applyFill="1" applyBorder="1" applyAlignment="1">
      <alignment horizontal="center" vertical="center"/>
    </xf>
    <xf numFmtId="0" fontId="37" fillId="49" borderId="107" xfId="11" applyFont="1" applyFill="1" applyBorder="1" applyAlignment="1">
      <alignment horizontal="center" vertical="center"/>
    </xf>
    <xf numFmtId="0" fontId="37" fillId="49" borderId="108" xfId="11" applyFont="1" applyFill="1" applyBorder="1" applyAlignment="1">
      <alignment horizontal="center" vertical="center"/>
    </xf>
    <xf numFmtId="0" fontId="37" fillId="49" borderId="108" xfId="11" applyFont="1" applyFill="1" applyBorder="1" applyAlignment="1">
      <alignment horizontal="center" vertical="center" wrapText="1"/>
    </xf>
    <xf numFmtId="0" fontId="37" fillId="49" borderId="109" xfId="11" applyFont="1" applyFill="1" applyBorder="1" applyAlignment="1">
      <alignment horizontal="center" vertical="center"/>
    </xf>
    <xf numFmtId="0" fontId="4" fillId="0" borderId="110" xfId="11" applyBorder="1"/>
    <xf numFmtId="177" fontId="4" fillId="0" borderId="95" xfId="13" applyFont="1" applyBorder="1"/>
    <xf numFmtId="9" fontId="4" fillId="0" borderId="63" xfId="14" applyFont="1" applyBorder="1"/>
    <xf numFmtId="2" fontId="4" fillId="0" borderId="63" xfId="11" applyNumberFormat="1" applyBorder="1"/>
    <xf numFmtId="177" fontId="4" fillId="0" borderId="63" xfId="11" applyNumberFormat="1" applyBorder="1"/>
    <xf numFmtId="177" fontId="4" fillId="0" borderId="94" xfId="11" applyNumberFormat="1" applyBorder="1"/>
    <xf numFmtId="0" fontId="4" fillId="0" borderId="113" xfId="11" applyBorder="1"/>
    <xf numFmtId="177" fontId="4" fillId="0" borderId="114" xfId="13" applyFont="1" applyBorder="1"/>
    <xf numFmtId="9" fontId="4" fillId="0" borderId="70" xfId="14" applyFont="1" applyBorder="1"/>
    <xf numFmtId="177" fontId="35" fillId="37" borderId="73" xfId="13" applyFont="1" applyFill="1" applyBorder="1" applyAlignment="1"/>
    <xf numFmtId="0" fontId="59" fillId="61" borderId="0" xfId="11" applyFont="1" applyFill="1"/>
    <xf numFmtId="0" fontId="33" fillId="61" borderId="0" xfId="11" applyFont="1" applyFill="1"/>
    <xf numFmtId="10" fontId="46" fillId="54" borderId="59" xfId="14" applyNumberFormat="1" applyFont="1" applyFill="1" applyBorder="1" applyAlignment="1">
      <alignment horizontal="right"/>
    </xf>
    <xf numFmtId="0" fontId="46" fillId="54" borderId="59" xfId="11" applyFont="1" applyFill="1" applyBorder="1" applyAlignment="1">
      <alignment horizontal="right"/>
    </xf>
    <xf numFmtId="0" fontId="60" fillId="62" borderId="0" xfId="11" applyFont="1" applyFill="1"/>
    <xf numFmtId="0" fontId="32" fillId="62" borderId="0" xfId="11" applyFont="1" applyFill="1"/>
    <xf numFmtId="0" fontId="61" fillId="0" borderId="0" xfId="11" applyFont="1"/>
    <xf numFmtId="0" fontId="62" fillId="0" borderId="0" xfId="11" applyFont="1"/>
    <xf numFmtId="9" fontId="46" fillId="63" borderId="0" xfId="11" applyNumberFormat="1" applyFont="1" applyFill="1"/>
    <xf numFmtId="0" fontId="46" fillId="63" borderId="0" xfId="11" applyFont="1" applyFill="1"/>
    <xf numFmtId="0" fontId="46" fillId="0" borderId="0" xfId="11" applyFont="1"/>
    <xf numFmtId="10" fontId="46" fillId="63" borderId="0" xfId="11" applyNumberFormat="1" applyFont="1" applyFill="1"/>
    <xf numFmtId="166" fontId="6" fillId="0" borderId="0" xfId="11" applyNumberFormat="1" applyFont="1"/>
    <xf numFmtId="10" fontId="6" fillId="0" borderId="0" xfId="11" applyNumberFormat="1" applyFont="1"/>
    <xf numFmtId="166" fontId="6" fillId="0" borderId="0" xfId="0" applyNumberFormat="1" applyFont="1"/>
    <xf numFmtId="0" fontId="4" fillId="0" borderId="0" xfId="0" applyFont="1"/>
    <xf numFmtId="180" fontId="6" fillId="0" borderId="0" xfId="0" applyNumberFormat="1" applyFont="1"/>
    <xf numFmtId="0" fontId="63" fillId="64" borderId="123" xfId="0" applyFont="1" applyFill="1" applyBorder="1"/>
    <xf numFmtId="0" fontId="63" fillId="64" borderId="127" xfId="0" applyFont="1" applyFill="1" applyBorder="1"/>
    <xf numFmtId="0" fontId="63" fillId="64" borderId="128" xfId="0" applyFont="1" applyFill="1" applyBorder="1" applyAlignment="1">
      <alignment horizontal="center"/>
    </xf>
    <xf numFmtId="0" fontId="63" fillId="64" borderId="129" xfId="0" applyFont="1" applyFill="1" applyBorder="1" applyAlignment="1">
      <alignment horizontal="center"/>
    </xf>
    <xf numFmtId="0" fontId="43" fillId="0" borderId="127" xfId="0" applyFont="1" applyBorder="1"/>
    <xf numFmtId="180" fontId="43" fillId="0" borderId="128" xfId="0" applyNumberFormat="1" applyFont="1" applyBorder="1" applyAlignment="1">
      <alignment horizontal="center"/>
    </xf>
    <xf numFmtId="181" fontId="43" fillId="0" borderId="128" xfId="0" applyNumberFormat="1" applyFont="1" applyBorder="1" applyAlignment="1">
      <alignment horizontal="center"/>
    </xf>
    <xf numFmtId="181" fontId="43" fillId="0" borderId="129" xfId="0" applyNumberFormat="1" applyFont="1" applyBorder="1" applyAlignment="1">
      <alignment horizontal="center"/>
    </xf>
    <xf numFmtId="180" fontId="43" fillId="0" borderId="128" xfId="0" applyNumberFormat="1" applyFont="1" applyBorder="1"/>
    <xf numFmtId="0" fontId="43" fillId="0" borderId="130" xfId="0" applyFont="1" applyBorder="1"/>
    <xf numFmtId="180" fontId="43" fillId="0" borderId="131" xfId="0" applyNumberFormat="1" applyFont="1" applyBorder="1"/>
    <xf numFmtId="180" fontId="43" fillId="0" borderId="131" xfId="0" applyNumberFormat="1" applyFont="1" applyBorder="1" applyAlignment="1">
      <alignment horizontal="center"/>
    </xf>
    <xf numFmtId="180" fontId="43" fillId="0" borderId="0" xfId="0" applyNumberFormat="1" applyFont="1"/>
    <xf numFmtId="0" fontId="0" fillId="26" borderId="56" xfId="0" applyFill="1" applyBorder="1"/>
    <xf numFmtId="0" fontId="0" fillId="26" borderId="50" xfId="0" applyFill="1" applyBorder="1"/>
    <xf numFmtId="0" fontId="0" fillId="26" borderId="58" xfId="0" applyFill="1" applyBorder="1"/>
    <xf numFmtId="0" fontId="0" fillId="26" borderId="59" xfId="0" applyFill="1" applyBorder="1"/>
    <xf numFmtId="0" fontId="0" fillId="26" borderId="75" xfId="0" applyFill="1" applyBorder="1"/>
    <xf numFmtId="0" fontId="0" fillId="26" borderId="54" xfId="0" applyFill="1" applyBorder="1"/>
    <xf numFmtId="167" fontId="6" fillId="10" borderId="8" xfId="0" applyNumberFormat="1" applyFont="1" applyFill="1" applyBorder="1" applyAlignment="1">
      <alignment horizontal="right"/>
    </xf>
    <xf numFmtId="0" fontId="20" fillId="0" borderId="0" xfId="0" applyFont="1"/>
    <xf numFmtId="166" fontId="20" fillId="0" borderId="0" xfId="0" applyNumberFormat="1" applyFont="1"/>
    <xf numFmtId="9" fontId="20" fillId="0" borderId="0" xfId="0" applyNumberFormat="1" applyFont="1"/>
    <xf numFmtId="9" fontId="17" fillId="10" borderId="8" xfId="1" applyFont="1" applyFill="1" applyBorder="1" applyAlignment="1">
      <alignment horizontal="right"/>
    </xf>
    <xf numFmtId="0" fontId="20" fillId="0" borderId="0" xfId="0" applyFont="1" applyAlignment="1">
      <alignment horizontal="center"/>
    </xf>
    <xf numFmtId="166" fontId="32" fillId="33" borderId="0" xfId="4" applyNumberFormat="1" applyAlignment="1">
      <alignment horizontal="center"/>
    </xf>
    <xf numFmtId="0" fontId="32" fillId="33" borderId="0" xfId="4" applyAlignment="1">
      <alignment horizontal="center"/>
    </xf>
    <xf numFmtId="10" fontId="32" fillId="33" borderId="0" xfId="4" applyNumberFormat="1" applyAlignment="1">
      <alignment horizontal="center"/>
    </xf>
    <xf numFmtId="10" fontId="20" fillId="0" borderId="0" xfId="0" applyNumberFormat="1" applyFont="1"/>
    <xf numFmtId="0" fontId="65" fillId="0" borderId="0" xfId="0" applyFont="1" applyAlignment="1">
      <alignment horizontal="left" vertical="center"/>
    </xf>
    <xf numFmtId="180" fontId="0" fillId="0" borderId="0" xfId="0" applyNumberFormat="1"/>
    <xf numFmtId="0" fontId="0" fillId="65" borderId="0" xfId="0" applyFill="1"/>
    <xf numFmtId="180" fontId="20" fillId="0" borderId="0" xfId="0" applyNumberFormat="1" applyFont="1"/>
    <xf numFmtId="0" fontId="0" fillId="42" borderId="0" xfId="0" applyFill="1"/>
    <xf numFmtId="10" fontId="32" fillId="23" borderId="0" xfId="4" applyNumberFormat="1" applyFill="1" applyAlignment="1">
      <alignment horizontal="center"/>
    </xf>
    <xf numFmtId="0" fontId="0" fillId="66" borderId="0" xfId="0" applyFill="1"/>
    <xf numFmtId="10" fontId="20" fillId="65" borderId="0" xfId="0" applyNumberFormat="1" applyFont="1" applyFill="1"/>
    <xf numFmtId="9" fontId="20" fillId="42" borderId="0" xfId="0" applyNumberFormat="1" applyFont="1" applyFill="1"/>
    <xf numFmtId="180" fontId="20" fillId="0" borderId="117" xfId="0" applyNumberFormat="1" applyFont="1" applyBorder="1"/>
    <xf numFmtId="10" fontId="32" fillId="33" borderId="0" xfId="4" applyNumberFormat="1"/>
    <xf numFmtId="9" fontId="20" fillId="66" borderId="0" xfId="0" applyNumberFormat="1" applyFont="1" applyFill="1"/>
    <xf numFmtId="10" fontId="66" fillId="23" borderId="0" xfId="0" applyNumberFormat="1" applyFont="1" applyFill="1"/>
    <xf numFmtId="0" fontId="0" fillId="0" borderId="0" xfId="0" applyAlignment="1">
      <alignment horizontal="right"/>
    </xf>
    <xf numFmtId="0" fontId="0" fillId="21" borderId="0" xfId="0" applyFill="1" applyAlignment="1">
      <alignment horizontal="right"/>
    </xf>
    <xf numFmtId="0" fontId="67" fillId="0" borderId="0" xfId="0" applyFont="1"/>
    <xf numFmtId="43" fontId="0" fillId="0" borderId="0" xfId="3" applyFont="1"/>
    <xf numFmtId="44" fontId="0" fillId="26" borderId="0" xfId="2" applyFont="1" applyFill="1"/>
    <xf numFmtId="0" fontId="7" fillId="26" borderId="0" xfId="0" applyFont="1" applyFill="1"/>
    <xf numFmtId="44" fontId="0" fillId="26" borderId="0" xfId="0" applyNumberFormat="1" applyFill="1"/>
    <xf numFmtId="164" fontId="0" fillId="0" borderId="63" xfId="0" applyNumberFormat="1" applyBorder="1"/>
    <xf numFmtId="0" fontId="7" fillId="0" borderId="0" xfId="15"/>
    <xf numFmtId="0" fontId="37" fillId="42" borderId="97" xfId="0" applyFont="1" applyFill="1" applyBorder="1"/>
    <xf numFmtId="0" fontId="37" fillId="42" borderId="132" xfId="0" applyFont="1" applyFill="1" applyBorder="1"/>
    <xf numFmtId="0" fontId="37" fillId="42" borderId="133" xfId="0" applyFont="1" applyFill="1" applyBorder="1"/>
    <xf numFmtId="0" fontId="37" fillId="42" borderId="122" xfId="0" applyFont="1" applyFill="1" applyBorder="1"/>
    <xf numFmtId="0" fontId="4" fillId="49" borderId="106" xfId="0" applyFont="1" applyFill="1" applyBorder="1"/>
    <xf numFmtId="177" fontId="0" fillId="0" borderId="120" xfId="13" applyFont="1" applyBorder="1"/>
    <xf numFmtId="2" fontId="0" fillId="0" borderId="108" xfId="0" applyNumberFormat="1" applyBorder="1"/>
    <xf numFmtId="177" fontId="0" fillId="0" borderId="108" xfId="13" applyFont="1" applyBorder="1"/>
    <xf numFmtId="2" fontId="0" fillId="0" borderId="121" xfId="0" applyNumberFormat="1" applyBorder="1"/>
    <xf numFmtId="0" fontId="4" fillId="49" borderId="110" xfId="0" applyFont="1" applyFill="1" applyBorder="1"/>
    <xf numFmtId="177" fontId="0" fillId="0" borderId="67" xfId="13" applyFont="1" applyBorder="1"/>
    <xf numFmtId="2" fontId="0" fillId="0" borderId="63" xfId="0" applyNumberFormat="1" applyBorder="1"/>
    <xf numFmtId="177" fontId="0" fillId="0" borderId="63" xfId="13" applyFont="1" applyBorder="1"/>
    <xf numFmtId="2" fontId="0" fillId="0" borderId="68" xfId="0" applyNumberFormat="1" applyBorder="1"/>
    <xf numFmtId="0" fontId="4" fillId="49" borderId="113" xfId="0" applyFont="1" applyFill="1" applyBorder="1"/>
    <xf numFmtId="177" fontId="0" fillId="0" borderId="69" xfId="13" applyFont="1" applyBorder="1"/>
    <xf numFmtId="2" fontId="0" fillId="0" borderId="70" xfId="0" applyNumberFormat="1" applyBorder="1"/>
    <xf numFmtId="177" fontId="0" fillId="0" borderId="70" xfId="13" applyFont="1" applyBorder="1"/>
    <xf numFmtId="2" fontId="0" fillId="0" borderId="71" xfId="0" applyNumberFormat="1" applyBorder="1"/>
    <xf numFmtId="0" fontId="68" fillId="0" borderId="0" xfId="0" applyFont="1"/>
    <xf numFmtId="0" fontId="68" fillId="49" borderId="67" xfId="0" applyFont="1" applyFill="1" applyBorder="1"/>
    <xf numFmtId="0" fontId="0" fillId="0" borderId="68" xfId="0" applyBorder="1"/>
    <xf numFmtId="0" fontId="68" fillId="49" borderId="69" xfId="0" applyFont="1" applyFill="1" applyBorder="1"/>
    <xf numFmtId="0" fontId="0" fillId="0" borderId="71" xfId="0" applyBorder="1"/>
    <xf numFmtId="2" fontId="6" fillId="0" borderId="1" xfId="0" applyNumberFormat="1" applyFont="1" applyBorder="1"/>
    <xf numFmtId="0" fontId="32" fillId="33" borderId="0" xfId="4" applyAlignment="1">
      <alignment horizontal="right"/>
    </xf>
    <xf numFmtId="44" fontId="17" fillId="59" borderId="19" xfId="2" applyFont="1" applyFill="1" applyBorder="1"/>
    <xf numFmtId="44" fontId="17" fillId="0" borderId="48" xfId="2" applyFont="1" applyBorder="1"/>
    <xf numFmtId="0" fontId="16" fillId="0" borderId="117" xfId="11" applyFont="1" applyBorder="1" applyAlignment="1">
      <alignment horizontal="center"/>
    </xf>
    <xf numFmtId="0" fontId="16" fillId="0" borderId="0" xfId="11" applyFont="1" applyAlignment="1">
      <alignment horizontal="center"/>
    </xf>
    <xf numFmtId="0" fontId="6" fillId="0" borderId="7" xfId="0" applyFont="1" applyBorder="1" applyAlignment="1">
      <alignment horizontal="center"/>
    </xf>
    <xf numFmtId="9" fontId="6" fillId="0" borderId="7" xfId="0" applyNumberFormat="1" applyFont="1" applyBorder="1" applyAlignment="1">
      <alignment horizontal="center"/>
    </xf>
    <xf numFmtId="164" fontId="6" fillId="0" borderId="4" xfId="0" applyNumberFormat="1" applyFont="1" applyBorder="1"/>
    <xf numFmtId="0" fontId="0" fillId="21" borderId="57" xfId="0" applyFill="1" applyBorder="1"/>
    <xf numFmtId="0" fontId="0" fillId="21" borderId="50" xfId="0" applyFill="1" applyBorder="1"/>
    <xf numFmtId="0" fontId="0" fillId="21" borderId="58" xfId="0" applyFill="1" applyBorder="1"/>
    <xf numFmtId="0" fontId="0" fillId="21" borderId="59" xfId="0" applyFill="1" applyBorder="1"/>
    <xf numFmtId="0" fontId="7" fillId="21" borderId="58" xfId="0" applyFont="1" applyFill="1" applyBorder="1"/>
    <xf numFmtId="0" fontId="0" fillId="21" borderId="75" xfId="0" applyFill="1" applyBorder="1"/>
    <xf numFmtId="0" fontId="0" fillId="21" borderId="61" xfId="0" applyFill="1" applyBorder="1"/>
    <xf numFmtId="0" fontId="50" fillId="21" borderId="56" xfId="0" applyFont="1" applyFill="1" applyBorder="1"/>
    <xf numFmtId="0" fontId="50" fillId="21" borderId="57" xfId="0" applyFont="1" applyFill="1" applyBorder="1"/>
    <xf numFmtId="180" fontId="70" fillId="0" borderId="1" xfId="0" applyNumberFormat="1" applyFont="1" applyBorder="1"/>
    <xf numFmtId="0" fontId="69" fillId="0" borderId="134" xfId="0" applyFont="1" applyBorder="1" applyAlignment="1">
      <alignment vertical="center" wrapText="1"/>
    </xf>
    <xf numFmtId="0" fontId="43" fillId="0" borderId="57" xfId="0" applyFont="1" applyBorder="1" applyAlignment="1">
      <alignment vertical="center" wrapText="1"/>
    </xf>
    <xf numFmtId="0" fontId="43" fillId="0" borderId="135" xfId="0" applyFont="1" applyBorder="1" applyAlignment="1">
      <alignment horizontal="center" vertical="center" wrapText="1"/>
    </xf>
    <xf numFmtId="0" fontId="43" fillId="0" borderId="136" xfId="0" applyFont="1" applyBorder="1" applyAlignment="1">
      <alignment horizontal="center" vertical="center" wrapText="1"/>
    </xf>
    <xf numFmtId="0" fontId="69" fillId="0" borderId="58" xfId="0" applyFont="1" applyBorder="1"/>
    <xf numFmtId="0" fontId="43" fillId="0" borderId="0" xfId="0" applyFont="1"/>
    <xf numFmtId="183" fontId="69" fillId="0" borderId="0" xfId="0" applyNumberFormat="1" applyFont="1"/>
    <xf numFmtId="180" fontId="69" fillId="0" borderId="0" xfId="0" applyNumberFormat="1" applyFont="1"/>
    <xf numFmtId="180" fontId="70" fillId="67" borderId="137" xfId="0" applyNumberFormat="1" applyFont="1" applyFill="1" applyBorder="1"/>
    <xf numFmtId="10" fontId="69" fillId="0" borderId="0" xfId="0" applyNumberFormat="1" applyFont="1"/>
    <xf numFmtId="180" fontId="69" fillId="0" borderId="59" xfId="0" applyNumberFormat="1" applyFont="1" applyBorder="1"/>
    <xf numFmtId="180" fontId="70" fillId="0" borderId="0" xfId="0" applyNumberFormat="1" applyFont="1"/>
    <xf numFmtId="0" fontId="69" fillId="0" borderId="75" xfId="0" applyFont="1" applyBorder="1"/>
    <xf numFmtId="0" fontId="43" fillId="0" borderId="61" xfId="0" applyFont="1" applyBorder="1"/>
    <xf numFmtId="183" fontId="69" fillId="0" borderId="61" xfId="0" applyNumberFormat="1" applyFont="1" applyBorder="1"/>
    <xf numFmtId="10" fontId="69" fillId="0" borderId="61" xfId="0" applyNumberFormat="1" applyFont="1" applyBorder="1"/>
    <xf numFmtId="180" fontId="70" fillId="0" borderId="61" xfId="0" applyNumberFormat="1" applyFont="1" applyBorder="1"/>
    <xf numFmtId="180" fontId="69" fillId="0" borderId="54" xfId="0" applyNumberFormat="1" applyFont="1" applyBorder="1"/>
    <xf numFmtId="0" fontId="50" fillId="21" borderId="0" xfId="0" applyFont="1" applyFill="1"/>
    <xf numFmtId="0" fontId="22" fillId="21" borderId="0" xfId="0" applyFont="1" applyFill="1" applyAlignment="1">
      <alignment horizontal="center"/>
    </xf>
    <xf numFmtId="0" fontId="49" fillId="21" borderId="138" xfId="0" applyFont="1" applyFill="1" applyBorder="1" applyAlignment="1">
      <alignment horizontal="center"/>
    </xf>
    <xf numFmtId="0" fontId="49" fillId="21" borderId="115" xfId="0" applyFont="1" applyFill="1" applyBorder="1" applyAlignment="1">
      <alignment horizontal="center"/>
    </xf>
    <xf numFmtId="182" fontId="22" fillId="21" borderId="0" xfId="2" applyNumberFormat="1" applyFont="1" applyFill="1" applyBorder="1" applyAlignment="1">
      <alignment horizontal="center"/>
    </xf>
    <xf numFmtId="0" fontId="7" fillId="0" borderId="0" xfId="0" applyFont="1" applyAlignment="1">
      <alignment wrapText="1"/>
    </xf>
    <xf numFmtId="0" fontId="67" fillId="21" borderId="0" xfId="0" applyFont="1" applyFill="1"/>
    <xf numFmtId="0" fontId="22" fillId="21" borderId="0" xfId="0" applyFont="1" applyFill="1"/>
    <xf numFmtId="0" fontId="22" fillId="21" borderId="0" xfId="0" applyFont="1" applyFill="1" applyAlignment="1">
      <alignment wrapText="1"/>
    </xf>
    <xf numFmtId="0" fontId="22" fillId="21" borderId="0" xfId="0" applyFont="1" applyFill="1" applyAlignment="1">
      <alignment horizontal="right"/>
    </xf>
    <xf numFmtId="9" fontId="22" fillId="21" borderId="0" xfId="0" applyNumberFormat="1" applyFont="1" applyFill="1"/>
    <xf numFmtId="43" fontId="22" fillId="21" borderId="0" xfId="3" applyFont="1" applyFill="1"/>
    <xf numFmtId="164" fontId="6" fillId="9" borderId="2" xfId="0" applyNumberFormat="1" applyFont="1" applyFill="1" applyBorder="1"/>
    <xf numFmtId="0" fontId="22" fillId="0" borderId="138" xfId="0" applyFont="1" applyBorder="1" applyAlignment="1">
      <alignment horizontal="center"/>
    </xf>
    <xf numFmtId="8" fontId="22" fillId="20" borderId="115" xfId="0" applyNumberFormat="1" applyFont="1" applyFill="1" applyBorder="1" applyAlignment="1">
      <alignment horizontal="center"/>
    </xf>
    <xf numFmtId="0" fontId="4" fillId="0" borderId="63" xfId="0" applyFont="1" applyBorder="1" applyAlignment="1">
      <alignment vertical="center" wrapText="1"/>
    </xf>
    <xf numFmtId="175" fontId="4" fillId="0" borderId="0" xfId="0" applyNumberFormat="1" applyFont="1"/>
    <xf numFmtId="170" fontId="4" fillId="0" borderId="0" xfId="0" applyNumberFormat="1" applyFont="1"/>
    <xf numFmtId="0" fontId="4" fillId="0" borderId="85" xfId="0" applyFont="1" applyBorder="1"/>
    <xf numFmtId="9" fontId="4" fillId="0" borderId="85" xfId="0" applyNumberFormat="1" applyFont="1" applyBorder="1"/>
    <xf numFmtId="0" fontId="4" fillId="54" borderId="140" xfId="0" applyFont="1" applyFill="1" applyBorder="1"/>
    <xf numFmtId="9" fontId="4" fillId="54" borderId="141" xfId="0" applyNumberFormat="1" applyFont="1" applyFill="1" applyBorder="1"/>
    <xf numFmtId="43" fontId="4" fillId="42" borderId="142" xfId="3" applyFont="1" applyFill="1" applyBorder="1"/>
    <xf numFmtId="0" fontId="4" fillId="39" borderId="63" xfId="9" applyBorder="1"/>
    <xf numFmtId="0" fontId="4" fillId="54" borderId="143" xfId="0" applyFont="1" applyFill="1" applyBorder="1"/>
    <xf numFmtId="9" fontId="4" fillId="54" borderId="63" xfId="0" applyNumberFormat="1" applyFont="1" applyFill="1" applyBorder="1"/>
    <xf numFmtId="43" fontId="4" fillId="42" borderId="144" xfId="3" applyFont="1" applyFill="1" applyBorder="1"/>
    <xf numFmtId="0" fontId="4" fillId="21" borderId="63" xfId="0" applyFont="1" applyFill="1" applyBorder="1"/>
    <xf numFmtId="0" fontId="4" fillId="54" borderId="145" xfId="0" applyFont="1" applyFill="1" applyBorder="1"/>
    <xf numFmtId="9" fontId="4" fillId="54" borderId="146" xfId="0" applyNumberFormat="1" applyFont="1" applyFill="1" applyBorder="1"/>
    <xf numFmtId="177" fontId="4" fillId="0" borderId="63" xfId="13" applyFont="1" applyBorder="1"/>
    <xf numFmtId="177" fontId="4" fillId="0" borderId="85" xfId="0" applyNumberFormat="1" applyFont="1" applyBorder="1"/>
    <xf numFmtId="177" fontId="0" fillId="0" borderId="0" xfId="13" applyFont="1" applyFill="1" applyBorder="1"/>
    <xf numFmtId="2" fontId="0" fillId="0" borderId="0" xfId="0" applyNumberFormat="1"/>
    <xf numFmtId="0" fontId="37" fillId="0" borderId="0" xfId="0" applyFont="1" applyAlignment="1">
      <alignment horizontal="center"/>
    </xf>
    <xf numFmtId="0" fontId="4" fillId="23" borderId="0" xfId="0" applyFont="1" applyFill="1"/>
    <xf numFmtId="177" fontId="0" fillId="23" borderId="0" xfId="0" applyNumberFormat="1" applyFill="1"/>
    <xf numFmtId="0" fontId="4" fillId="0" borderId="108" xfId="0" applyFont="1" applyBorder="1"/>
    <xf numFmtId="0" fontId="40" fillId="0" borderId="0" xfId="0" applyFont="1" applyAlignment="1">
      <alignment horizontal="center"/>
    </xf>
    <xf numFmtId="0" fontId="10" fillId="0" borderId="0" xfId="0" applyFont="1"/>
    <xf numFmtId="174" fontId="41" fillId="0" borderId="0" xfId="0" applyNumberFormat="1" applyFont="1" applyAlignment="1">
      <alignment horizontal="center"/>
    </xf>
    <xf numFmtId="0" fontId="41" fillId="0" borderId="0" xfId="0" applyFont="1" applyAlignment="1">
      <alignment horizontal="center"/>
    </xf>
    <xf numFmtId="177" fontId="4" fillId="0" borderId="0" xfId="0" applyNumberFormat="1" applyFont="1"/>
    <xf numFmtId="170" fontId="0" fillId="0" borderId="0" xfId="0" applyNumberFormat="1"/>
    <xf numFmtId="44" fontId="0" fillId="0" borderId="0" xfId="2" applyFont="1" applyFill="1" applyBorder="1"/>
    <xf numFmtId="43" fontId="6" fillId="0" borderId="1" xfId="3" applyFont="1" applyBorder="1"/>
    <xf numFmtId="43" fontId="4" fillId="0" borderId="85" xfId="3" applyFont="1" applyBorder="1"/>
    <xf numFmtId="0" fontId="7"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174" fontId="6" fillId="0" borderId="0" xfId="0" applyNumberFormat="1" applyFont="1"/>
    <xf numFmtId="0" fontId="42" fillId="0" borderId="0" xfId="0" applyFont="1"/>
    <xf numFmtId="10" fontId="43" fillId="0" borderId="0" xfId="0" applyNumberFormat="1" applyFont="1"/>
    <xf numFmtId="10" fontId="45" fillId="0" borderId="0" xfId="4" applyNumberFormat="1" applyFont="1" applyFill="1" applyBorder="1"/>
    <xf numFmtId="0" fontId="47" fillId="0" borderId="0" xfId="0" applyFont="1"/>
    <xf numFmtId="0" fontId="0" fillId="0" borderId="99" xfId="0" applyBorder="1"/>
    <xf numFmtId="173" fontId="5" fillId="0" borderId="0" xfId="0" applyNumberFormat="1" applyFont="1" applyAlignment="1">
      <alignment horizontal="center"/>
    </xf>
    <xf numFmtId="3" fontId="6" fillId="0" borderId="0" xfId="0" applyNumberFormat="1" applyFont="1" applyAlignment="1">
      <alignment horizontal="right"/>
    </xf>
    <xf numFmtId="0" fontId="37" fillId="0" borderId="0" xfId="0" applyFont="1"/>
    <xf numFmtId="3" fontId="40" fillId="0" borderId="0" xfId="0" applyNumberFormat="1" applyFont="1"/>
    <xf numFmtId="4" fontId="0" fillId="0" borderId="0" xfId="0" applyNumberFormat="1"/>
    <xf numFmtId="0" fontId="51" fillId="0" borderId="0" xfId="0" applyFont="1" applyAlignment="1">
      <alignment horizontal="right"/>
    </xf>
    <xf numFmtId="0" fontId="9" fillId="0" borderId="0" xfId="0" applyFont="1"/>
    <xf numFmtId="0" fontId="11" fillId="0" borderId="0" xfId="0" applyFont="1"/>
    <xf numFmtId="0" fontId="12" fillId="0" borderId="0" xfId="0" applyFont="1"/>
    <xf numFmtId="0" fontId="6" fillId="0" borderId="0" xfId="0" applyFont="1" applyAlignment="1">
      <alignment wrapText="1"/>
    </xf>
    <xf numFmtId="0" fontId="12" fillId="0" borderId="0" xfId="0" applyFont="1" applyAlignment="1">
      <alignment wrapText="1"/>
    </xf>
    <xf numFmtId="0" fontId="24" fillId="0" borderId="0" xfId="0" applyFont="1" applyAlignment="1">
      <alignment wrapText="1"/>
    </xf>
    <xf numFmtId="43" fontId="4" fillId="0" borderId="63" xfId="3" applyFont="1" applyBorder="1" applyAlignment="1">
      <alignment vertical="center"/>
    </xf>
    <xf numFmtId="0" fontId="4" fillId="42" borderId="0" xfId="0" applyFont="1" applyFill="1"/>
    <xf numFmtId="0" fontId="4" fillId="68" borderId="0" xfId="0" applyFont="1" applyFill="1"/>
    <xf numFmtId="0" fontId="0" fillId="68" borderId="0" xfId="0" applyFill="1"/>
    <xf numFmtId="0" fontId="4" fillId="21" borderId="0" xfId="0" applyFont="1" applyFill="1"/>
    <xf numFmtId="2" fontId="4" fillId="42" borderId="63" xfId="0" applyNumberFormat="1" applyFont="1" applyFill="1" applyBorder="1"/>
    <xf numFmtId="0" fontId="4" fillId="66" borderId="0" xfId="0" applyFont="1" applyFill="1"/>
    <xf numFmtId="0" fontId="72" fillId="21" borderId="0" xfId="0" applyFont="1" applyFill="1"/>
    <xf numFmtId="0" fontId="71" fillId="21" borderId="0" xfId="0" applyFont="1" applyFill="1" applyAlignment="1">
      <alignment horizontal="center"/>
    </xf>
    <xf numFmtId="8" fontId="72" fillId="21" borderId="0" xfId="0" applyNumberFormat="1" applyFont="1" applyFill="1" applyAlignment="1">
      <alignment horizontal="center"/>
    </xf>
    <xf numFmtId="0" fontId="72" fillId="21" borderId="0" xfId="0" applyFont="1" applyFill="1" applyAlignment="1">
      <alignment horizontal="center"/>
    </xf>
    <xf numFmtId="166" fontId="72" fillId="21" borderId="0" xfId="0" applyNumberFormat="1" applyFont="1" applyFill="1" applyAlignment="1">
      <alignment horizontal="center"/>
    </xf>
    <xf numFmtId="0" fontId="13" fillId="0" borderId="0" xfId="0" applyFont="1"/>
    <xf numFmtId="10" fontId="5" fillId="0" borderId="0" xfId="0" applyNumberFormat="1" applyFont="1" applyAlignment="1">
      <alignment horizontal="right"/>
    </xf>
    <xf numFmtId="0" fontId="14" fillId="0" borderId="0" xfId="0" applyFont="1"/>
    <xf numFmtId="0" fontId="15" fillId="0" borderId="0" xfId="0" applyFont="1" applyAlignment="1">
      <alignment horizontal="right"/>
    </xf>
    <xf numFmtId="0" fontId="16" fillId="0" borderId="0" xfId="0" applyFont="1"/>
    <xf numFmtId="9" fontId="17" fillId="0" borderId="0" xfId="1" applyFont="1" applyFill="1" applyBorder="1" applyAlignment="1">
      <alignment horizontal="right"/>
    </xf>
    <xf numFmtId="10" fontId="16" fillId="0" borderId="0" xfId="0" applyNumberFormat="1" applyFont="1" applyAlignment="1">
      <alignment horizontal="right"/>
    </xf>
    <xf numFmtId="10" fontId="6" fillId="0" borderId="0" xfId="0" applyNumberFormat="1" applyFont="1" applyAlignment="1">
      <alignment horizontal="right"/>
    </xf>
    <xf numFmtId="0" fontId="32" fillId="0" borderId="0" xfId="4" applyFill="1" applyBorder="1"/>
    <xf numFmtId="0" fontId="6" fillId="0" borderId="2" xfId="0" applyFont="1" applyBorder="1" applyAlignment="1">
      <alignment wrapText="1"/>
    </xf>
    <xf numFmtId="184" fontId="6" fillId="0" borderId="1" xfId="0" applyNumberFormat="1" applyFont="1" applyBorder="1"/>
    <xf numFmtId="184" fontId="6" fillId="20" borderId="1" xfId="0" applyNumberFormat="1" applyFont="1" applyFill="1" applyBorder="1"/>
    <xf numFmtId="184" fontId="6" fillId="28" borderId="1" xfId="0" applyNumberFormat="1" applyFont="1" applyFill="1" applyBorder="1"/>
    <xf numFmtId="184" fontId="6" fillId="27" borderId="1" xfId="0" applyNumberFormat="1" applyFont="1" applyFill="1" applyBorder="1"/>
    <xf numFmtId="184" fontId="6" fillId="0" borderId="31" xfId="0" applyNumberFormat="1" applyFont="1" applyBorder="1"/>
    <xf numFmtId="184" fontId="6" fillId="0" borderId="2" xfId="0" applyNumberFormat="1" applyFont="1" applyBorder="1"/>
    <xf numFmtId="184" fontId="0" fillId="0" borderId="63" xfId="0" applyNumberFormat="1" applyBorder="1"/>
    <xf numFmtId="184" fontId="6" fillId="0" borderId="19" xfId="0" applyNumberFormat="1" applyFont="1" applyBorder="1"/>
    <xf numFmtId="184" fontId="6" fillId="8" borderId="1" xfId="0" applyNumberFormat="1" applyFont="1" applyFill="1" applyBorder="1"/>
    <xf numFmtId="184" fontId="6" fillId="9" borderId="1" xfId="0" applyNumberFormat="1" applyFont="1" applyFill="1" applyBorder="1"/>
    <xf numFmtId="184" fontId="43" fillId="0" borderId="147" xfId="0" applyNumberFormat="1" applyFont="1" applyBorder="1"/>
    <xf numFmtId="184" fontId="0" fillId="0" borderId="147" xfId="0" applyNumberFormat="1" applyBorder="1"/>
    <xf numFmtId="184" fontId="6" fillId="0" borderId="147" xfId="0" applyNumberFormat="1" applyFont="1" applyBorder="1"/>
    <xf numFmtId="184" fontId="6" fillId="0" borderId="4" xfId="0" applyNumberFormat="1" applyFont="1" applyBorder="1"/>
    <xf numFmtId="0" fontId="6" fillId="0" borderId="31" xfId="0" applyFont="1" applyBorder="1"/>
    <xf numFmtId="0" fontId="7" fillId="14" borderId="0" xfId="0" applyFont="1" applyFill="1"/>
    <xf numFmtId="43" fontId="0" fillId="0" borderId="0" xfId="0" applyNumberFormat="1"/>
    <xf numFmtId="44" fontId="7" fillId="0" borderId="0" xfId="2" applyFont="1"/>
    <xf numFmtId="0" fontId="0" fillId="0" borderId="152" xfId="0" applyBorder="1"/>
    <xf numFmtId="0" fontId="0" fillId="0" borderId="155" xfId="0" applyBorder="1"/>
    <xf numFmtId="0" fontId="20" fillId="14" borderId="148" xfId="0" applyFont="1" applyFill="1" applyBorder="1" applyAlignment="1">
      <alignment horizontal="right"/>
    </xf>
    <xf numFmtId="166" fontId="20" fillId="14" borderId="149" xfId="0" applyNumberFormat="1" applyFont="1" applyFill="1" applyBorder="1" applyAlignment="1">
      <alignment horizontal="left"/>
    </xf>
    <xf numFmtId="0" fontId="0" fillId="14" borderId="149" xfId="0" applyFill="1" applyBorder="1"/>
    <xf numFmtId="0" fontId="0" fillId="14" borderId="150" xfId="0" applyFill="1" applyBorder="1"/>
    <xf numFmtId="0" fontId="20" fillId="14" borderId="151" xfId="0" applyFont="1" applyFill="1" applyBorder="1" applyAlignment="1">
      <alignment horizontal="right"/>
    </xf>
    <xf numFmtId="0" fontId="32" fillId="14" borderId="0" xfId="4" applyFill="1" applyBorder="1" applyAlignment="1">
      <alignment horizontal="left"/>
    </xf>
    <xf numFmtId="0" fontId="0" fillId="14" borderId="152" xfId="0" applyFill="1" applyBorder="1"/>
    <xf numFmtId="9" fontId="20" fillId="14" borderId="0" xfId="0" applyNumberFormat="1" applyFont="1" applyFill="1" applyAlignment="1">
      <alignment horizontal="left"/>
    </xf>
    <xf numFmtId="0" fontId="0" fillId="14" borderId="153" xfId="0" applyFill="1" applyBorder="1"/>
    <xf numFmtId="0" fontId="0" fillId="14" borderId="154" xfId="0" applyFill="1" applyBorder="1"/>
    <xf numFmtId="0" fontId="0" fillId="14" borderId="155" xfId="0" applyFill="1" applyBorder="1"/>
    <xf numFmtId="10" fontId="16" fillId="0" borderId="2" xfId="0" applyNumberFormat="1" applyFont="1" applyBorder="1" applyAlignment="1">
      <alignment horizontal="right"/>
    </xf>
    <xf numFmtId="0" fontId="6" fillId="0" borderId="2" xfId="0" applyFont="1" applyBorder="1" applyAlignment="1">
      <alignment horizontal="right"/>
    </xf>
    <xf numFmtId="0" fontId="7" fillId="14" borderId="159" xfId="0" applyFont="1" applyFill="1" applyBorder="1" applyAlignment="1">
      <alignment horizontal="center"/>
    </xf>
    <xf numFmtId="0" fontId="7" fillId="14" borderId="160" xfId="0" applyFont="1" applyFill="1" applyBorder="1" applyAlignment="1">
      <alignment horizontal="center"/>
    </xf>
    <xf numFmtId="9" fontId="0" fillId="0" borderId="0" xfId="14" applyFont="1"/>
    <xf numFmtId="10" fontId="0" fillId="0" borderId="0" xfId="14" applyNumberFormat="1" applyFont="1"/>
    <xf numFmtId="9" fontId="4" fillId="0" borderId="0" xfId="14" applyFont="1"/>
    <xf numFmtId="8" fontId="22" fillId="20" borderId="0" xfId="0" applyNumberFormat="1" applyFont="1" applyFill="1" applyAlignment="1">
      <alignment horizontal="center"/>
    </xf>
    <xf numFmtId="44" fontId="4" fillId="0" borderId="0" xfId="2" applyFont="1"/>
    <xf numFmtId="0" fontId="16" fillId="14" borderId="0" xfId="11" applyFont="1" applyFill="1"/>
    <xf numFmtId="44" fontId="4" fillId="0" borderId="0" xfId="2" applyFont="1" applyAlignment="1">
      <alignment horizontal="center"/>
    </xf>
    <xf numFmtId="177" fontId="4" fillId="26" borderId="95" xfId="13" applyFont="1" applyFill="1" applyBorder="1"/>
    <xf numFmtId="0" fontId="74" fillId="26" borderId="0" xfId="0" applyFont="1" applyFill="1"/>
    <xf numFmtId="177" fontId="74" fillId="26" borderId="0" xfId="0" applyNumberFormat="1" applyFont="1" applyFill="1"/>
    <xf numFmtId="43" fontId="4" fillId="0" borderId="0" xfId="3" applyFont="1"/>
    <xf numFmtId="0" fontId="68" fillId="42" borderId="0" xfId="0" applyFont="1" applyFill="1"/>
    <xf numFmtId="0" fontId="25" fillId="42" borderId="0" xfId="0" applyFont="1" applyFill="1"/>
    <xf numFmtId="0" fontId="76" fillId="42" borderId="0" xfId="0" applyFont="1" applyFill="1" applyAlignment="1">
      <alignment horizontal="center"/>
    </xf>
    <xf numFmtId="0" fontId="25" fillId="42" borderId="0" xfId="0" applyFont="1" applyFill="1" applyAlignment="1">
      <alignment wrapText="1"/>
    </xf>
    <xf numFmtId="0" fontId="68" fillId="42" borderId="0" xfId="11" applyFont="1" applyFill="1"/>
    <xf numFmtId="0" fontId="25" fillId="42" borderId="0" xfId="0" applyFont="1" applyFill="1" applyAlignment="1">
      <alignment horizontal="left"/>
    </xf>
    <xf numFmtId="184" fontId="25" fillId="42" borderId="0" xfId="0" applyNumberFormat="1" applyFont="1" applyFill="1"/>
    <xf numFmtId="0" fontId="6" fillId="26" borderId="4" xfId="0" applyFont="1" applyFill="1" applyBorder="1"/>
    <xf numFmtId="44" fontId="0" fillId="0" borderId="0" xfId="2" applyFont="1" applyAlignment="1">
      <alignment horizontal="center"/>
    </xf>
    <xf numFmtId="0" fontId="0" fillId="0" borderId="151" xfId="0" applyBorder="1" applyAlignment="1">
      <alignment horizontal="center"/>
    </xf>
    <xf numFmtId="0" fontId="0" fillId="0" borderId="152" xfId="0" applyBorder="1" applyAlignment="1">
      <alignment horizontal="center"/>
    </xf>
    <xf numFmtId="0" fontId="0" fillId="0" borderId="153" xfId="0" applyBorder="1" applyAlignment="1">
      <alignment horizontal="center"/>
    </xf>
    <xf numFmtId="0" fontId="0" fillId="0" borderId="155" xfId="0" applyBorder="1" applyAlignment="1">
      <alignment horizontal="center"/>
    </xf>
    <xf numFmtId="43" fontId="0" fillId="0" borderId="147" xfId="3" applyFont="1" applyBorder="1"/>
    <xf numFmtId="0" fontId="6" fillId="0" borderId="2" xfId="0" applyFont="1" applyBorder="1"/>
    <xf numFmtId="0" fontId="9" fillId="7" borderId="19" xfId="0" applyFont="1" applyFill="1" applyBorder="1"/>
    <xf numFmtId="43" fontId="6" fillId="0" borderId="147" xfId="3" applyFont="1" applyBorder="1"/>
    <xf numFmtId="0" fontId="6" fillId="0" borderId="147" xfId="0" applyFont="1" applyBorder="1"/>
    <xf numFmtId="44" fontId="0" fillId="0" borderId="147" xfId="2" applyFont="1" applyBorder="1"/>
    <xf numFmtId="164" fontId="6" fillId="26" borderId="1" xfId="0" applyNumberFormat="1" applyFont="1" applyFill="1" applyBorder="1"/>
    <xf numFmtId="164" fontId="6" fillId="47" borderId="1" xfId="0" applyNumberFormat="1" applyFont="1" applyFill="1" applyBorder="1"/>
    <xf numFmtId="184" fontId="6" fillId="47" borderId="1" xfId="0" applyNumberFormat="1" applyFont="1" applyFill="1" applyBorder="1"/>
    <xf numFmtId="184" fontId="6" fillId="26" borderId="19" xfId="0" applyNumberFormat="1" applyFont="1" applyFill="1" applyBorder="1"/>
    <xf numFmtId="10" fontId="16" fillId="21" borderId="2" xfId="0" applyNumberFormat="1" applyFont="1" applyFill="1" applyBorder="1" applyAlignment="1">
      <alignment horizontal="right"/>
    </xf>
    <xf numFmtId="0" fontId="77" fillId="0" borderId="0" xfId="0" applyFont="1"/>
    <xf numFmtId="174" fontId="78" fillId="0" borderId="7" xfId="0" applyNumberFormat="1" applyFont="1" applyBorder="1" applyAlignment="1">
      <alignment horizontal="center"/>
    </xf>
    <xf numFmtId="0" fontId="79" fillId="0" borderId="102" xfId="0" applyFont="1" applyBorder="1"/>
    <xf numFmtId="174" fontId="78" fillId="0" borderId="0" xfId="0" applyNumberFormat="1" applyFont="1" applyAlignment="1">
      <alignment horizontal="center"/>
    </xf>
    <xf numFmtId="0" fontId="79" fillId="0" borderId="0" xfId="0" applyFont="1"/>
    <xf numFmtId="0" fontId="82" fillId="0" borderId="0" xfId="0" applyFont="1"/>
    <xf numFmtId="185" fontId="83" fillId="0" borderId="8" xfId="0" applyNumberFormat="1" applyFont="1" applyBorder="1" applyAlignment="1">
      <alignment horizontal="right"/>
    </xf>
    <xf numFmtId="185" fontId="84" fillId="0" borderId="8" xfId="0" applyNumberFormat="1" applyFont="1" applyBorder="1" applyAlignment="1">
      <alignment horizontal="right"/>
    </xf>
    <xf numFmtId="174" fontId="86" fillId="0" borderId="8" xfId="0" applyNumberFormat="1" applyFont="1" applyBorder="1" applyAlignment="1">
      <alignment horizontal="right"/>
    </xf>
    <xf numFmtId="174" fontId="81" fillId="0" borderId="8" xfId="0" applyNumberFormat="1" applyFont="1" applyBorder="1" applyAlignment="1">
      <alignment horizontal="right"/>
    </xf>
    <xf numFmtId="9" fontId="79" fillId="0" borderId="0" xfId="1" applyFont="1" applyBorder="1"/>
    <xf numFmtId="2" fontId="79" fillId="0" borderId="0" xfId="1" applyNumberFormat="1" applyFont="1" applyBorder="1"/>
    <xf numFmtId="2" fontId="79" fillId="0" borderId="8" xfId="1" applyNumberFormat="1" applyFont="1" applyBorder="1" applyAlignment="1">
      <alignment horizontal="right"/>
    </xf>
    <xf numFmtId="2" fontId="17" fillId="10" borderId="8" xfId="1" applyNumberFormat="1" applyFont="1" applyFill="1" applyBorder="1" applyAlignment="1">
      <alignment horizontal="right"/>
    </xf>
    <xf numFmtId="174" fontId="80" fillId="0" borderId="161" xfId="0" applyNumberFormat="1" applyFont="1" applyBorder="1" applyAlignment="1">
      <alignment horizontal="center"/>
    </xf>
    <xf numFmtId="0" fontId="81" fillId="0" borderId="152" xfId="0" applyFont="1" applyBorder="1"/>
    <xf numFmtId="0" fontId="81" fillId="0" borderId="152" xfId="0" applyFont="1" applyBorder="1" applyAlignment="1">
      <alignment horizontal="left"/>
    </xf>
    <xf numFmtId="174" fontId="78" fillId="0" borderId="161" xfId="0" applyNumberFormat="1" applyFont="1" applyBorder="1" applyAlignment="1">
      <alignment horizontal="center"/>
    </xf>
    <xf numFmtId="174" fontId="85" fillId="0" borderId="161" xfId="0" applyNumberFormat="1" applyFont="1" applyBorder="1" applyAlignment="1">
      <alignment horizontal="center"/>
    </xf>
    <xf numFmtId="0" fontId="77" fillId="0" borderId="152" xfId="0" applyFont="1" applyBorder="1"/>
    <xf numFmtId="174" fontId="87" fillId="41" borderId="162" xfId="0" applyNumberFormat="1" applyFont="1" applyFill="1" applyBorder="1"/>
    <xf numFmtId="2" fontId="81" fillId="41" borderId="163" xfId="1" applyNumberFormat="1" applyFont="1" applyFill="1" applyBorder="1" applyAlignment="1">
      <alignment horizontal="right"/>
    </xf>
    <xf numFmtId="9" fontId="5" fillId="31" borderId="6" xfId="1" applyFont="1" applyFill="1" applyBorder="1" applyAlignment="1">
      <alignment horizontal="right"/>
    </xf>
    <xf numFmtId="0" fontId="89" fillId="46" borderId="0" xfId="0" applyFont="1" applyFill="1"/>
    <xf numFmtId="183" fontId="90" fillId="55" borderId="0" xfId="0" applyNumberFormat="1" applyFont="1" applyFill="1"/>
    <xf numFmtId="183" fontId="91" fillId="55" borderId="0" xfId="0" applyNumberFormat="1" applyFont="1" applyFill="1"/>
    <xf numFmtId="0" fontId="92" fillId="55" borderId="0" xfId="0" applyFont="1" applyFill="1"/>
    <xf numFmtId="0" fontId="93" fillId="55" borderId="0" xfId="0" applyFont="1" applyFill="1"/>
    <xf numFmtId="0" fontId="94" fillId="69" borderId="0" xfId="0" applyFont="1" applyFill="1"/>
    <xf numFmtId="0" fontId="95" fillId="0" borderId="0" xfId="0" applyFont="1"/>
    <xf numFmtId="0" fontId="20" fillId="0" borderId="0" xfId="0" applyFont="1" applyAlignment="1">
      <alignment horizontal="left"/>
    </xf>
    <xf numFmtId="0" fontId="94" fillId="69" borderId="0" xfId="0" applyFont="1" applyFill="1" applyAlignment="1">
      <alignment horizontal="left"/>
    </xf>
    <xf numFmtId="0" fontId="92" fillId="70" borderId="0" xfId="0" applyFont="1" applyFill="1"/>
    <xf numFmtId="0" fontId="50" fillId="21" borderId="0" xfId="0" applyFont="1" applyFill="1" applyAlignment="1">
      <alignment horizontal="left"/>
    </xf>
    <xf numFmtId="0" fontId="96" fillId="21" borderId="0" xfId="0" applyFont="1" applyFill="1"/>
    <xf numFmtId="0" fontId="96" fillId="21" borderId="0" xfId="0" applyFont="1" applyFill="1" applyAlignment="1">
      <alignment horizontal="center"/>
    </xf>
    <xf numFmtId="0" fontId="50" fillId="21" borderId="0" xfId="0" applyFont="1" applyFill="1" applyAlignment="1">
      <alignment wrapText="1"/>
    </xf>
    <xf numFmtId="0" fontId="96" fillId="21" borderId="0" xfId="11" applyFont="1" applyFill="1"/>
    <xf numFmtId="184" fontId="6" fillId="48" borderId="1" xfId="0" applyNumberFormat="1" applyFont="1" applyFill="1" applyBorder="1"/>
    <xf numFmtId="184" fontId="50" fillId="48" borderId="0" xfId="0" applyNumberFormat="1" applyFont="1" applyFill="1"/>
    <xf numFmtId="0" fontId="50" fillId="48" borderId="0" xfId="0" applyFont="1" applyFill="1" applyAlignment="1">
      <alignment horizontal="left"/>
    </xf>
    <xf numFmtId="0" fontId="22" fillId="26" borderId="148" xfId="0" applyFont="1" applyFill="1" applyBorder="1"/>
    <xf numFmtId="43" fontId="22" fillId="26" borderId="150" xfId="3" applyFont="1" applyFill="1" applyBorder="1"/>
    <xf numFmtId="0" fontId="22" fillId="26" borderId="153" xfId="0" applyFont="1" applyFill="1" applyBorder="1"/>
    <xf numFmtId="43" fontId="22" fillId="26" borderId="155" xfId="3" applyFont="1" applyFill="1" applyBorder="1"/>
    <xf numFmtId="0" fontId="9" fillId="5" borderId="19" xfId="0" applyFont="1" applyFill="1" applyBorder="1"/>
    <xf numFmtId="0" fontId="5" fillId="4" borderId="19" xfId="0" applyFont="1" applyFill="1" applyBorder="1"/>
    <xf numFmtId="0" fontId="9" fillId="5" borderId="164" xfId="0" applyFont="1" applyFill="1" applyBorder="1"/>
    <xf numFmtId="10" fontId="5" fillId="4" borderId="165" xfId="0" applyNumberFormat="1" applyFont="1" applyFill="1" applyBorder="1"/>
    <xf numFmtId="0" fontId="7" fillId="0" borderId="158" xfId="0" applyFont="1" applyBorder="1"/>
    <xf numFmtId="177" fontId="4" fillId="0" borderId="0" xfId="13"/>
    <xf numFmtId="172" fontId="6" fillId="0" borderId="10" xfId="11" applyNumberFormat="1" applyFont="1" applyBorder="1" applyAlignment="1">
      <alignment horizontal="right"/>
    </xf>
    <xf numFmtId="172" fontId="6" fillId="0" borderId="1" xfId="11" applyNumberFormat="1" applyFont="1" applyBorder="1" applyAlignment="1">
      <alignment horizontal="right"/>
    </xf>
    <xf numFmtId="172" fontId="6" fillId="0" borderId="12" xfId="11" applyNumberFormat="1" applyFont="1" applyBorder="1" applyAlignment="1">
      <alignment horizontal="right"/>
    </xf>
    <xf numFmtId="0" fontId="6" fillId="41" borderId="9" xfId="11" applyFont="1" applyFill="1" applyBorder="1" applyAlignment="1">
      <alignment horizontal="center"/>
    </xf>
    <xf numFmtId="172" fontId="6" fillId="0" borderId="8" xfId="11" applyNumberFormat="1" applyFont="1" applyBorder="1" applyAlignment="1">
      <alignment horizontal="right"/>
    </xf>
    <xf numFmtId="0" fontId="6" fillId="41" borderId="7" xfId="11" applyFont="1" applyFill="1" applyBorder="1" applyAlignment="1">
      <alignment horizontal="center"/>
    </xf>
    <xf numFmtId="0" fontId="6" fillId="41" borderId="6" xfId="11" applyFont="1" applyFill="1" applyBorder="1" applyAlignment="1">
      <alignment horizontal="center"/>
    </xf>
    <xf numFmtId="0" fontId="6" fillId="41" borderId="11" xfId="11" applyFont="1" applyFill="1" applyBorder="1" applyAlignment="1">
      <alignment horizontal="center"/>
    </xf>
    <xf numFmtId="0" fontId="6" fillId="41" borderId="5" xfId="11" applyFont="1" applyFill="1" applyBorder="1" applyAlignment="1">
      <alignment horizontal="center"/>
    </xf>
    <xf numFmtId="0" fontId="6" fillId="55" borderId="91" xfId="11" applyFont="1" applyFill="1" applyBorder="1" applyAlignment="1">
      <alignment horizontal="center"/>
    </xf>
    <xf numFmtId="0" fontId="4" fillId="0" borderId="0" xfId="11" applyAlignment="1">
      <alignment horizontal="left" vertical="center"/>
    </xf>
    <xf numFmtId="184" fontId="6" fillId="0" borderId="98" xfId="0" applyNumberFormat="1" applyFont="1" applyBorder="1"/>
    <xf numFmtId="0" fontId="66" fillId="52" borderId="13" xfId="11" applyFont="1" applyFill="1" applyBorder="1" applyAlignment="1">
      <alignment horizontal="center"/>
    </xf>
    <xf numFmtId="10" fontId="20" fillId="53" borderId="32" xfId="11" applyNumberFormat="1" applyFont="1" applyFill="1" applyBorder="1" applyAlignment="1">
      <alignment horizontal="center"/>
    </xf>
    <xf numFmtId="0" fontId="20" fillId="53" borderId="102" xfId="11" applyFont="1" applyFill="1" applyBorder="1" applyAlignment="1">
      <alignment horizontal="center"/>
    </xf>
    <xf numFmtId="10" fontId="46" fillId="67" borderId="102" xfId="11" applyNumberFormat="1" applyFont="1" applyFill="1" applyBorder="1" applyAlignment="1">
      <alignment horizontal="right"/>
    </xf>
    <xf numFmtId="0" fontId="20" fillId="0" borderId="17" xfId="11" applyFont="1" applyBorder="1" applyAlignment="1">
      <alignment horizontal="center" vertical="center"/>
    </xf>
    <xf numFmtId="44" fontId="20" fillId="0" borderId="32" xfId="11" applyNumberFormat="1" applyFont="1" applyBorder="1" applyAlignment="1">
      <alignment horizontal="center"/>
    </xf>
    <xf numFmtId="0" fontId="46" fillId="67" borderId="102" xfId="11" applyFont="1" applyFill="1" applyBorder="1" applyAlignment="1">
      <alignment horizontal="right"/>
    </xf>
    <xf numFmtId="0" fontId="20" fillId="0" borderId="55" xfId="11" applyFont="1" applyBorder="1" applyAlignment="1">
      <alignment horizontal="center" vertical="center"/>
    </xf>
    <xf numFmtId="10" fontId="20" fillId="0" borderId="102" xfId="11" applyNumberFormat="1" applyFont="1" applyBorder="1" applyAlignment="1">
      <alignment horizontal="center"/>
    </xf>
    <xf numFmtId="0" fontId="44" fillId="0" borderId="0" xfId="11" applyFont="1"/>
    <xf numFmtId="0" fontId="20" fillId="0" borderId="91" xfId="11" applyFont="1" applyBorder="1" applyAlignment="1">
      <alignment horizontal="center" vertical="center"/>
    </xf>
    <xf numFmtId="1" fontId="20" fillId="0" borderId="93" xfId="11" applyNumberFormat="1" applyFont="1" applyBorder="1" applyAlignment="1">
      <alignment horizontal="center"/>
    </xf>
    <xf numFmtId="10" fontId="66" fillId="29" borderId="93" xfId="11" applyNumberFormat="1" applyFont="1" applyFill="1" applyBorder="1" applyAlignment="1">
      <alignment horizontal="center"/>
    </xf>
    <xf numFmtId="0" fontId="66" fillId="71" borderId="20" xfId="11" applyFont="1" applyFill="1" applyBorder="1" applyAlignment="1">
      <alignment horizontal="center" vertical="center"/>
    </xf>
    <xf numFmtId="0" fontId="66" fillId="71" borderId="21" xfId="11" applyFont="1" applyFill="1" applyBorder="1" applyAlignment="1">
      <alignment horizontal="center" vertical="center"/>
    </xf>
    <xf numFmtId="0" fontId="66" fillId="71" borderId="22" xfId="11" applyFont="1" applyFill="1" applyBorder="1" applyAlignment="1">
      <alignment horizontal="center" vertical="center"/>
    </xf>
    <xf numFmtId="0" fontId="20" fillId="0" borderId="5" xfId="11" applyFont="1" applyBorder="1" applyAlignment="1">
      <alignment horizontal="center" vertical="center"/>
    </xf>
    <xf numFmtId="44" fontId="20" fillId="0" borderId="11" xfId="11" applyNumberFormat="1" applyFont="1" applyBorder="1"/>
    <xf numFmtId="44" fontId="20" fillId="0" borderId="11" xfId="11" applyNumberFormat="1" applyFont="1" applyBorder="1" applyAlignment="1">
      <alignment horizontal="center" vertical="center"/>
    </xf>
    <xf numFmtId="44" fontId="20" fillId="0" borderId="6" xfId="11" applyNumberFormat="1" applyFont="1" applyBorder="1" applyAlignment="1">
      <alignment horizontal="center" vertical="center"/>
    </xf>
    <xf numFmtId="0" fontId="20" fillId="0" borderId="7" xfId="11" applyFont="1" applyBorder="1" applyAlignment="1">
      <alignment horizontal="center" vertical="center"/>
    </xf>
    <xf numFmtId="44" fontId="20" fillId="0" borderId="1" xfId="11" applyNumberFormat="1" applyFont="1" applyBorder="1"/>
    <xf numFmtId="44" fontId="20" fillId="0" borderId="1" xfId="11" applyNumberFormat="1" applyFont="1" applyBorder="1" applyAlignment="1">
      <alignment horizontal="center" vertical="center"/>
    </xf>
    <xf numFmtId="44" fontId="20" fillId="0" borderId="8" xfId="11" applyNumberFormat="1" applyFont="1" applyBorder="1" applyAlignment="1">
      <alignment horizontal="center" vertical="center"/>
    </xf>
    <xf numFmtId="0" fontId="20" fillId="0" borderId="18" xfId="11" applyFont="1" applyBorder="1" applyAlignment="1">
      <alignment horizontal="center" vertical="center"/>
    </xf>
    <xf numFmtId="0" fontId="20" fillId="0" borderId="37" xfId="11" applyFont="1" applyBorder="1" applyAlignment="1">
      <alignment horizontal="center" vertical="center"/>
    </xf>
    <xf numFmtId="44" fontId="20" fillId="0" borderId="31" xfId="11" applyNumberFormat="1" applyFont="1" applyBorder="1"/>
    <xf numFmtId="44" fontId="20" fillId="0" borderId="31" xfId="11" applyNumberFormat="1" applyFont="1" applyBorder="1" applyAlignment="1">
      <alignment horizontal="center" vertical="center"/>
    </xf>
    <xf numFmtId="44" fontId="20" fillId="0" borderId="36" xfId="11" applyNumberFormat="1" applyFont="1" applyBorder="1" applyAlignment="1">
      <alignment horizontal="center" vertical="center"/>
    </xf>
    <xf numFmtId="0" fontId="66" fillId="69" borderId="33" xfId="11" applyFont="1" applyFill="1" applyBorder="1" applyAlignment="1">
      <alignment horizontal="center"/>
    </xf>
    <xf numFmtId="0" fontId="20" fillId="69" borderId="34" xfId="11" applyFont="1" applyFill="1" applyBorder="1" applyAlignment="1">
      <alignment horizontal="center"/>
    </xf>
    <xf numFmtId="44" fontId="20" fillId="69" borderId="34" xfId="11" applyNumberFormat="1" applyFont="1" applyFill="1" applyBorder="1" applyAlignment="1">
      <alignment horizontal="center"/>
    </xf>
    <xf numFmtId="44" fontId="20" fillId="69" borderId="35" xfId="11" applyNumberFormat="1" applyFont="1" applyFill="1" applyBorder="1" applyAlignment="1">
      <alignment horizontal="center"/>
    </xf>
    <xf numFmtId="0" fontId="66" fillId="71" borderId="17" xfId="11" applyFont="1" applyFill="1" applyBorder="1" applyAlignment="1">
      <alignment horizontal="center" vertical="center"/>
    </xf>
    <xf numFmtId="0" fontId="66" fillId="71" borderId="77" xfId="11" applyFont="1" applyFill="1" applyBorder="1" applyAlignment="1">
      <alignment horizontal="center" vertical="center"/>
    </xf>
    <xf numFmtId="0" fontId="66" fillId="71" borderId="32" xfId="11" applyFont="1" applyFill="1" applyBorder="1" applyAlignment="1">
      <alignment horizontal="center" vertical="center"/>
    </xf>
    <xf numFmtId="0" fontId="20" fillId="0" borderId="9" xfId="11" applyFont="1" applyBorder="1" applyAlignment="1">
      <alignment horizontal="center" vertical="center"/>
    </xf>
    <xf numFmtId="44" fontId="20" fillId="0" borderId="12" xfId="11" applyNumberFormat="1" applyFont="1" applyBorder="1"/>
    <xf numFmtId="44" fontId="20" fillId="0" borderId="12" xfId="11" applyNumberFormat="1" applyFont="1" applyBorder="1" applyAlignment="1">
      <alignment horizontal="center" vertical="center"/>
    </xf>
    <xf numFmtId="44" fontId="20" fillId="0" borderId="10" xfId="11" applyNumberFormat="1" applyFont="1" applyBorder="1" applyAlignment="1">
      <alignment horizontal="center" vertical="center"/>
    </xf>
    <xf numFmtId="0" fontId="12" fillId="0" borderId="0" xfId="11" applyFont="1"/>
    <xf numFmtId="44" fontId="20" fillId="0" borderId="19" xfId="11" applyNumberFormat="1" applyFont="1" applyBorder="1" applyAlignment="1">
      <alignment horizontal="center" vertical="center"/>
    </xf>
    <xf numFmtId="44" fontId="20" fillId="0" borderId="26" xfId="11" applyNumberFormat="1" applyFont="1" applyBorder="1" applyAlignment="1">
      <alignment horizontal="center" vertical="center"/>
    </xf>
    <xf numFmtId="0" fontId="20" fillId="0" borderId="23" xfId="11" applyFont="1" applyBorder="1" applyAlignment="1">
      <alignment horizontal="center" vertical="center"/>
    </xf>
    <xf numFmtId="44" fontId="20" fillId="0" borderId="24" xfId="11" applyNumberFormat="1" applyFont="1" applyBorder="1" applyAlignment="1">
      <alignment horizontal="center" vertical="center"/>
    </xf>
    <xf numFmtId="44" fontId="20" fillId="0" borderId="25" xfId="11" applyNumberFormat="1" applyFont="1" applyBorder="1" applyAlignment="1">
      <alignment horizontal="center" vertical="center"/>
    </xf>
    <xf numFmtId="44" fontId="4" fillId="0" borderId="0" xfId="11" applyNumberFormat="1"/>
    <xf numFmtId="0" fontId="76" fillId="42" borderId="0" xfId="0" applyFont="1" applyFill="1"/>
    <xf numFmtId="0" fontId="97" fillId="42" borderId="0" xfId="0" applyFont="1" applyFill="1"/>
    <xf numFmtId="0" fontId="97" fillId="42" borderId="0" xfId="0" applyFont="1" applyFill="1" applyAlignment="1">
      <alignment wrapText="1"/>
    </xf>
    <xf numFmtId="0" fontId="76" fillId="42" borderId="0" xfId="11" applyFont="1" applyFill="1"/>
    <xf numFmtId="44" fontId="76" fillId="42" borderId="0" xfId="2" applyFont="1" applyFill="1" applyAlignment="1">
      <alignment horizontal="left"/>
    </xf>
    <xf numFmtId="44" fontId="25" fillId="42" borderId="0" xfId="2" applyFont="1" applyFill="1" applyBorder="1" applyAlignment="1">
      <alignment horizontal="left"/>
    </xf>
    <xf numFmtId="0" fontId="5" fillId="3" borderId="0" xfId="15" applyFont="1" applyFill="1"/>
    <xf numFmtId="178" fontId="6" fillId="0" borderId="0" xfId="15" applyNumberFormat="1" applyFont="1"/>
    <xf numFmtId="0" fontId="6" fillId="0" borderId="0" xfId="15" applyFont="1"/>
    <xf numFmtId="0" fontId="5" fillId="72" borderId="0" xfId="15" applyFont="1" applyFill="1"/>
    <xf numFmtId="0" fontId="6" fillId="72" borderId="0" xfId="15" applyFont="1" applyFill="1"/>
    <xf numFmtId="0" fontId="5" fillId="73" borderId="0" xfId="15" applyFont="1" applyFill="1"/>
    <xf numFmtId="0" fontId="6" fillId="73" borderId="0" xfId="15" applyFont="1" applyFill="1"/>
    <xf numFmtId="0" fontId="5" fillId="8" borderId="0" xfId="15" applyFont="1" applyFill="1"/>
    <xf numFmtId="0" fontId="5" fillId="0" borderId="99" xfId="15" applyFont="1" applyBorder="1"/>
    <xf numFmtId="0" fontId="6" fillId="0" borderId="99" xfId="15" applyFont="1" applyBorder="1"/>
    <xf numFmtId="0" fontId="5" fillId="6" borderId="19" xfId="15" applyFont="1" applyFill="1" applyBorder="1" applyAlignment="1">
      <alignment horizontal="center"/>
    </xf>
    <xf numFmtId="0" fontId="5" fillId="6" borderId="19" xfId="15" applyFont="1" applyFill="1" applyBorder="1" applyAlignment="1">
      <alignment horizontal="right"/>
    </xf>
    <xf numFmtId="0" fontId="5" fillId="6" borderId="1" xfId="15" applyFont="1" applyFill="1" applyBorder="1"/>
    <xf numFmtId="4" fontId="6" fillId="0" borderId="1" xfId="15" applyNumberFormat="1" applyFont="1" applyBorder="1" applyAlignment="1">
      <alignment horizontal="center"/>
    </xf>
    <xf numFmtId="178" fontId="6" fillId="0" borderId="1" xfId="15" applyNumberFormat="1" applyFont="1" applyBorder="1" applyAlignment="1">
      <alignment horizontal="center"/>
    </xf>
    <xf numFmtId="0" fontId="5" fillId="6" borderId="31" xfId="15" applyFont="1" applyFill="1" applyBorder="1"/>
    <xf numFmtId="178" fontId="5" fillId="0" borderId="31" xfId="15" applyNumberFormat="1" applyFont="1" applyBorder="1" applyAlignment="1">
      <alignment horizontal="center"/>
    </xf>
    <xf numFmtId="178" fontId="6" fillId="0" borderId="1" xfId="15" applyNumberFormat="1" applyFont="1" applyBorder="1"/>
    <xf numFmtId="178" fontId="5" fillId="0" borderId="1" xfId="15" applyNumberFormat="1" applyFont="1" applyBorder="1"/>
    <xf numFmtId="0" fontId="37" fillId="42" borderId="106" xfId="11" applyFont="1" applyFill="1" applyBorder="1"/>
    <xf numFmtId="0" fontId="4" fillId="49" borderId="132" xfId="11" applyFill="1" applyBorder="1"/>
    <xf numFmtId="0" fontId="4" fillId="49" borderId="133" xfId="11" applyFill="1" applyBorder="1"/>
    <xf numFmtId="0" fontId="4" fillId="49" borderId="122" xfId="11" applyFill="1" applyBorder="1"/>
    <xf numFmtId="0" fontId="37" fillId="42" borderId="110" xfId="11" applyFont="1" applyFill="1" applyBorder="1"/>
    <xf numFmtId="0" fontId="4" fillId="0" borderId="107" xfId="11" applyBorder="1" applyAlignment="1">
      <alignment horizontal="center"/>
    </xf>
    <xf numFmtId="0" fontId="4" fillId="39" borderId="108" xfId="9" applyBorder="1" applyAlignment="1">
      <alignment horizontal="center"/>
    </xf>
    <xf numFmtId="0" fontId="4" fillId="39" borderId="121" xfId="9" applyBorder="1" applyAlignment="1">
      <alignment horizontal="center"/>
    </xf>
    <xf numFmtId="0" fontId="66" fillId="75" borderId="169" xfId="11" applyFont="1" applyFill="1" applyBorder="1" applyAlignment="1">
      <alignment wrapText="1"/>
    </xf>
    <xf numFmtId="0" fontId="20" fillId="76" borderId="170" xfId="11" applyFont="1" applyFill="1" applyBorder="1" applyAlignment="1">
      <alignment horizontal="right" wrapText="1"/>
    </xf>
    <xf numFmtId="0" fontId="20" fillId="76" borderId="171" xfId="11" applyFont="1" applyFill="1" applyBorder="1" applyAlignment="1">
      <alignment horizontal="right" wrapText="1"/>
    </xf>
    <xf numFmtId="0" fontId="4" fillId="0" borderId="95" xfId="11" applyBorder="1" applyAlignment="1">
      <alignment horizontal="center"/>
    </xf>
    <xf numFmtId="0" fontId="4" fillId="0" borderId="63" xfId="11" applyBorder="1" applyAlignment="1">
      <alignment horizontal="center"/>
    </xf>
    <xf numFmtId="0" fontId="4" fillId="0" borderId="68" xfId="11" applyBorder="1" applyAlignment="1">
      <alignment horizontal="center"/>
    </xf>
    <xf numFmtId="0" fontId="20" fillId="0" borderId="172" xfId="11" applyFont="1" applyBorder="1" applyAlignment="1">
      <alignment wrapText="1"/>
    </xf>
    <xf numFmtId="0" fontId="20" fillId="77" borderId="172" xfId="11" applyFont="1" applyFill="1" applyBorder="1" applyAlignment="1">
      <alignment wrapText="1"/>
    </xf>
    <xf numFmtId="0" fontId="4" fillId="0" borderId="95" xfId="11" applyBorder="1"/>
    <xf numFmtId="2" fontId="4" fillId="0" borderId="68" xfId="11" applyNumberFormat="1" applyBorder="1"/>
    <xf numFmtId="186" fontId="20" fillId="0" borderId="172" xfId="11" applyNumberFormat="1" applyFont="1" applyBorder="1" applyAlignment="1">
      <alignment horizontal="center" wrapText="1"/>
    </xf>
    <xf numFmtId="0" fontId="20" fillId="0" borderId="172" xfId="11" applyFont="1" applyBorder="1" applyAlignment="1">
      <alignment horizontal="right" wrapText="1"/>
    </xf>
    <xf numFmtId="0" fontId="20" fillId="0" borderId="173" xfId="11" applyFont="1" applyBorder="1" applyAlignment="1">
      <alignment horizontal="right" wrapText="1"/>
    </xf>
    <xf numFmtId="0" fontId="37" fillId="42" borderId="113" xfId="11" applyFont="1" applyFill="1" applyBorder="1"/>
    <xf numFmtId="177" fontId="4" fillId="48" borderId="114" xfId="13" applyFont="1" applyFill="1" applyBorder="1"/>
    <xf numFmtId="177" fontId="4" fillId="48" borderId="70" xfId="13" applyFont="1" applyFill="1" applyBorder="1"/>
    <xf numFmtId="177" fontId="4" fillId="48" borderId="71" xfId="13" applyFont="1" applyFill="1" applyBorder="1"/>
    <xf numFmtId="177" fontId="7" fillId="0" borderId="0" xfId="15" applyNumberFormat="1"/>
    <xf numFmtId="0" fontId="66" fillId="75" borderId="174" xfId="11" applyFont="1" applyFill="1" applyBorder="1" applyAlignment="1">
      <alignment wrapText="1"/>
    </xf>
    <xf numFmtId="0" fontId="37" fillId="42" borderId="97" xfId="11" applyFont="1" applyFill="1" applyBorder="1"/>
    <xf numFmtId="0" fontId="37" fillId="42" borderId="132" xfId="11" applyFont="1" applyFill="1" applyBorder="1"/>
    <xf numFmtId="0" fontId="37" fillId="42" borderId="133" xfId="11" applyFont="1" applyFill="1" applyBorder="1"/>
    <xf numFmtId="0" fontId="37" fillId="42" borderId="122" xfId="11" applyFont="1" applyFill="1" applyBorder="1"/>
    <xf numFmtId="0" fontId="4" fillId="49" borderId="106" xfId="11" applyFill="1" applyBorder="1"/>
    <xf numFmtId="2" fontId="4" fillId="0" borderId="108" xfId="11" applyNumberFormat="1" applyBorder="1"/>
    <xf numFmtId="2" fontId="4" fillId="0" borderId="121" xfId="11" applyNumberFormat="1" applyBorder="1"/>
    <xf numFmtId="0" fontId="4" fillId="49" borderId="110" xfId="11" applyFill="1" applyBorder="1"/>
    <xf numFmtId="0" fontId="4" fillId="49" borderId="113" xfId="11" applyFill="1" applyBorder="1"/>
    <xf numFmtId="2" fontId="4" fillId="0" borderId="70" xfId="11" applyNumberFormat="1" applyBorder="1"/>
    <xf numFmtId="2" fontId="4" fillId="0" borderId="71" xfId="11" applyNumberFormat="1" applyBorder="1"/>
    <xf numFmtId="0" fontId="68" fillId="0" borderId="0" xfId="11" applyFont="1"/>
    <xf numFmtId="0" fontId="68" fillId="49" borderId="67" xfId="11" applyFont="1" applyFill="1" applyBorder="1"/>
    <xf numFmtId="0" fontId="4" fillId="0" borderId="68" xfId="11" applyBorder="1"/>
    <xf numFmtId="0" fontId="68" fillId="49" borderId="69" xfId="11" applyFont="1" applyFill="1" applyBorder="1"/>
    <xf numFmtId="0" fontId="4" fillId="0" borderId="71" xfId="11" applyBorder="1"/>
    <xf numFmtId="0" fontId="4" fillId="0" borderId="56" xfId="11" applyBorder="1"/>
    <xf numFmtId="0" fontId="4" fillId="0" borderId="57" xfId="11" applyBorder="1"/>
    <xf numFmtId="0" fontId="4" fillId="0" borderId="50" xfId="11" applyBorder="1"/>
    <xf numFmtId="0" fontId="4" fillId="0" borderId="58" xfId="11" applyBorder="1"/>
    <xf numFmtId="0" fontId="20" fillId="0" borderId="59" xfId="11" applyFont="1" applyBorder="1"/>
    <xf numFmtId="0" fontId="4" fillId="0" borderId="59" xfId="11" applyBorder="1"/>
    <xf numFmtId="0" fontId="37" fillId="42" borderId="43" xfId="11" applyFont="1" applyFill="1" applyBorder="1" applyAlignment="1">
      <alignment horizontal="center" vertical="center"/>
    </xf>
    <xf numFmtId="0" fontId="4" fillId="49" borderId="132" xfId="11" applyFill="1" applyBorder="1" applyAlignment="1">
      <alignment horizontal="center" vertical="center"/>
    </xf>
    <xf numFmtId="0" fontId="4" fillId="49" borderId="133" xfId="11" applyFill="1" applyBorder="1" applyAlignment="1">
      <alignment horizontal="center" vertical="center"/>
    </xf>
    <xf numFmtId="0" fontId="4" fillId="49" borderId="122" xfId="11" applyFill="1" applyBorder="1" applyAlignment="1">
      <alignment horizontal="center" vertical="center"/>
    </xf>
    <xf numFmtId="0" fontId="37" fillId="42" borderId="97" xfId="11" applyFont="1" applyFill="1" applyBorder="1" applyAlignment="1">
      <alignment horizontal="center" vertical="center"/>
    </xf>
    <xf numFmtId="0" fontId="4" fillId="0" borderId="108" xfId="11" applyBorder="1" applyAlignment="1">
      <alignment horizontal="center" vertical="center"/>
    </xf>
    <xf numFmtId="0" fontId="4" fillId="0" borderId="121" xfId="11" applyBorder="1" applyAlignment="1">
      <alignment horizontal="center" vertical="center"/>
    </xf>
    <xf numFmtId="0" fontId="4" fillId="0" borderId="70" xfId="11" applyBorder="1" applyAlignment="1">
      <alignment horizontal="center" vertical="center"/>
    </xf>
    <xf numFmtId="0" fontId="4" fillId="0" borderId="71" xfId="11" applyBorder="1" applyAlignment="1">
      <alignment horizontal="center" vertical="center"/>
    </xf>
    <xf numFmtId="0" fontId="4" fillId="49" borderId="97" xfId="11" applyFill="1" applyBorder="1" applyAlignment="1">
      <alignment horizontal="center" vertical="center"/>
    </xf>
    <xf numFmtId="0" fontId="4" fillId="49" borderId="44" xfId="11" applyFill="1" applyBorder="1" applyAlignment="1">
      <alignment horizontal="center" vertical="center"/>
    </xf>
    <xf numFmtId="0" fontId="4" fillId="0" borderId="110" xfId="11" applyBorder="1" applyAlignment="1">
      <alignment horizontal="center"/>
    </xf>
    <xf numFmtId="9" fontId="0" fillId="0" borderId="175" xfId="14" applyFont="1" applyBorder="1" applyAlignment="1">
      <alignment horizontal="center"/>
    </xf>
    <xf numFmtId="0" fontId="98" fillId="0" borderId="0" xfId="11" applyFont="1"/>
    <xf numFmtId="0" fontId="4" fillId="0" borderId="113" xfId="11" applyBorder="1" applyAlignment="1">
      <alignment horizontal="center"/>
    </xf>
    <xf numFmtId="9" fontId="0" fillId="0" borderId="176" xfId="14" applyFont="1" applyBorder="1" applyAlignment="1">
      <alignment horizontal="center"/>
    </xf>
    <xf numFmtId="0" fontId="98" fillId="0" borderId="59" xfId="11" applyFont="1" applyBorder="1"/>
    <xf numFmtId="0" fontId="7" fillId="0" borderId="59" xfId="15" applyBorder="1"/>
    <xf numFmtId="9" fontId="0" fillId="0" borderId="69" xfId="14" applyFont="1" applyBorder="1"/>
    <xf numFmtId="9" fontId="0" fillId="0" borderId="70" xfId="14" applyFont="1" applyBorder="1"/>
    <xf numFmtId="9" fontId="0" fillId="0" borderId="71" xfId="14" applyFont="1" applyBorder="1"/>
    <xf numFmtId="0" fontId="4" fillId="0" borderId="75" xfId="11" applyBorder="1"/>
    <xf numFmtId="0" fontId="4" fillId="0" borderId="61" xfId="11" applyBorder="1"/>
    <xf numFmtId="0" fontId="4" fillId="0" borderId="54" xfId="11" applyBorder="1"/>
    <xf numFmtId="44" fontId="25" fillId="42" borderId="0" xfId="0" applyNumberFormat="1" applyFont="1" applyFill="1"/>
    <xf numFmtId="9" fontId="25" fillId="42" borderId="0" xfId="0" applyNumberFormat="1" applyFont="1" applyFill="1"/>
    <xf numFmtId="0" fontId="20" fillId="21" borderId="172" xfId="11" applyFont="1" applyFill="1" applyBorder="1" applyAlignment="1">
      <alignment horizontal="right" wrapText="1"/>
    </xf>
    <xf numFmtId="44" fontId="16" fillId="0" borderId="0" xfId="2" applyFont="1"/>
    <xf numFmtId="44" fontId="0" fillId="0" borderId="177" xfId="2" applyFont="1" applyBorder="1"/>
    <xf numFmtId="0" fontId="6" fillId="21" borderId="2" xfId="0" applyFont="1" applyFill="1" applyBorder="1" applyAlignment="1">
      <alignment horizontal="right"/>
    </xf>
    <xf numFmtId="10" fontId="6" fillId="21" borderId="8" xfId="0" applyNumberFormat="1" applyFont="1" applyFill="1" applyBorder="1" applyAlignment="1">
      <alignment horizontal="right"/>
    </xf>
    <xf numFmtId="0" fontId="99" fillId="46" borderId="0" xfId="0" applyFont="1" applyFill="1"/>
    <xf numFmtId="9" fontId="32" fillId="33" borderId="0" xfId="4" applyNumberFormat="1" applyAlignment="1">
      <alignment horizontal="center"/>
    </xf>
    <xf numFmtId="10" fontId="6" fillId="21" borderId="10" xfId="0" applyNumberFormat="1" applyFont="1" applyFill="1" applyBorder="1" applyAlignment="1">
      <alignment horizontal="right"/>
    </xf>
    <xf numFmtId="0" fontId="50" fillId="21" borderId="0" xfId="0" applyFont="1" applyFill="1" applyAlignment="1">
      <alignment horizontal="center"/>
    </xf>
    <xf numFmtId="0" fontId="0" fillId="21" borderId="0" xfId="0" applyFill="1" applyAlignment="1">
      <alignment horizontal="center" vertical="center" wrapText="1"/>
    </xf>
    <xf numFmtId="184" fontId="50" fillId="21" borderId="0" xfId="0" applyNumberFormat="1" applyFont="1" applyFill="1"/>
    <xf numFmtId="0" fontId="50" fillId="46" borderId="0" xfId="0" applyFont="1" applyFill="1"/>
    <xf numFmtId="0" fontId="7" fillId="0" borderId="0" xfId="0" applyFont="1" applyAlignment="1">
      <alignment horizontal="center" vertical="center"/>
    </xf>
    <xf numFmtId="43" fontId="55" fillId="35" borderId="73" xfId="3" applyFont="1" applyFill="1" applyBorder="1"/>
    <xf numFmtId="184" fontId="6" fillId="14" borderId="1" xfId="0" applyNumberFormat="1" applyFont="1" applyFill="1" applyBorder="1"/>
    <xf numFmtId="0" fontId="50" fillId="21" borderId="0" xfId="0" applyFont="1" applyFill="1" applyAlignment="1">
      <alignment horizontal="center" vertical="center"/>
    </xf>
    <xf numFmtId="43" fontId="16" fillId="0" borderId="0" xfId="11" applyNumberFormat="1" applyFont="1"/>
    <xf numFmtId="0" fontId="6" fillId="48" borderId="1" xfId="0" applyFont="1" applyFill="1" applyBorder="1" applyAlignment="1">
      <alignment wrapText="1"/>
    </xf>
    <xf numFmtId="43" fontId="55" fillId="35" borderId="0" xfId="3" applyFont="1" applyFill="1" applyBorder="1"/>
    <xf numFmtId="184" fontId="0" fillId="0" borderId="0" xfId="0" applyNumberFormat="1"/>
    <xf numFmtId="184" fontId="6" fillId="0" borderId="0" xfId="0" applyNumberFormat="1" applyFont="1"/>
    <xf numFmtId="0" fontId="6" fillId="21" borderId="4" xfId="0" applyFont="1" applyFill="1" applyBorder="1"/>
    <xf numFmtId="184" fontId="6" fillId="21" borderId="1" xfId="0" applyNumberFormat="1" applyFont="1" applyFill="1" applyBorder="1"/>
    <xf numFmtId="8" fontId="22" fillId="21" borderId="0" xfId="0" applyNumberFormat="1" applyFont="1" applyFill="1" applyAlignment="1">
      <alignment horizontal="center"/>
    </xf>
    <xf numFmtId="0" fontId="3" fillId="0" borderId="0" xfId="16"/>
    <xf numFmtId="0" fontId="5" fillId="52" borderId="13" xfId="16" applyFont="1" applyFill="1" applyBorder="1" applyAlignment="1">
      <alignment horizontal="center"/>
    </xf>
    <xf numFmtId="0" fontId="6" fillId="0" borderId="0" xfId="16" applyFont="1"/>
    <xf numFmtId="10" fontId="43" fillId="53" borderId="32" xfId="16" applyNumberFormat="1" applyFont="1" applyFill="1" applyBorder="1" applyAlignment="1">
      <alignment horizontal="center"/>
    </xf>
    <xf numFmtId="0" fontId="59" fillId="61" borderId="0" xfId="16" applyFont="1" applyFill="1"/>
    <xf numFmtId="0" fontId="33" fillId="61" borderId="0" xfId="16" applyFont="1" applyFill="1"/>
    <xf numFmtId="0" fontId="43" fillId="53" borderId="102" xfId="16" applyFont="1" applyFill="1" applyBorder="1" applyAlignment="1">
      <alignment horizontal="center"/>
    </xf>
    <xf numFmtId="0" fontId="6" fillId="0" borderId="17" xfId="16" applyFont="1" applyBorder="1" applyAlignment="1">
      <alignment horizontal="center"/>
    </xf>
    <xf numFmtId="172" fontId="43" fillId="0" borderId="32" xfId="16" applyNumberFormat="1" applyFont="1" applyBorder="1" applyAlignment="1">
      <alignment horizontal="center"/>
    </xf>
    <xf numFmtId="0" fontId="6" fillId="0" borderId="55" xfId="16" applyFont="1" applyBorder="1" applyAlignment="1">
      <alignment horizontal="center"/>
    </xf>
    <xf numFmtId="10" fontId="6" fillId="0" borderId="102" xfId="16" applyNumberFormat="1" applyFont="1" applyBorder="1" applyAlignment="1">
      <alignment horizontal="center"/>
    </xf>
    <xf numFmtId="0" fontId="6" fillId="0" borderId="91" xfId="16" applyFont="1" applyBorder="1" applyAlignment="1">
      <alignment horizontal="center"/>
    </xf>
    <xf numFmtId="0" fontId="6" fillId="0" borderId="93" xfId="16" applyFont="1" applyBorder="1" applyAlignment="1">
      <alignment horizontal="center"/>
    </xf>
    <xf numFmtId="10" fontId="42" fillId="29" borderId="93" xfId="16" applyNumberFormat="1" applyFont="1" applyFill="1" applyBorder="1" applyAlignment="1">
      <alignment horizontal="center"/>
    </xf>
    <xf numFmtId="10" fontId="46" fillId="54" borderId="59" xfId="17" applyNumberFormat="1" applyFont="1" applyFill="1" applyBorder="1" applyAlignment="1">
      <alignment horizontal="right"/>
    </xf>
    <xf numFmtId="0" fontId="46" fillId="54" borderId="59" xfId="16" applyFont="1" applyFill="1" applyBorder="1" applyAlignment="1">
      <alignment horizontal="right"/>
    </xf>
    <xf numFmtId="0" fontId="6" fillId="41" borderId="17" xfId="16" applyFont="1" applyFill="1" applyBorder="1" applyAlignment="1">
      <alignment horizontal="center"/>
    </xf>
    <xf numFmtId="0" fontId="6" fillId="41" borderId="77" xfId="16" applyFont="1" applyFill="1" applyBorder="1" applyAlignment="1">
      <alignment horizontal="center"/>
    </xf>
    <xf numFmtId="0" fontId="6" fillId="41" borderId="32" xfId="16" applyFont="1" applyFill="1" applyBorder="1" applyAlignment="1">
      <alignment horizontal="center"/>
    </xf>
    <xf numFmtId="0" fontId="6" fillId="41" borderId="55" xfId="16" applyFont="1" applyFill="1" applyBorder="1" applyAlignment="1">
      <alignment horizontal="center"/>
    </xf>
    <xf numFmtId="172" fontId="6" fillId="0" borderId="0" xfId="16" applyNumberFormat="1" applyFont="1" applyAlignment="1">
      <alignment horizontal="right"/>
    </xf>
    <xf numFmtId="172" fontId="6" fillId="0" borderId="102" xfId="16" applyNumberFormat="1" applyFont="1" applyBorder="1" applyAlignment="1">
      <alignment horizontal="right"/>
    </xf>
    <xf numFmtId="10" fontId="37" fillId="29" borderId="54" xfId="16" applyNumberFormat="1" applyFont="1" applyFill="1" applyBorder="1" applyAlignment="1">
      <alignment horizontal="center"/>
    </xf>
    <xf numFmtId="0" fontId="60" fillId="62" borderId="0" xfId="16" applyFont="1" applyFill="1"/>
    <xf numFmtId="0" fontId="32" fillId="62" borderId="0" xfId="16" applyFont="1" applyFill="1"/>
    <xf numFmtId="0" fontId="5" fillId="55" borderId="91" xfId="16" applyFont="1" applyFill="1" applyBorder="1" applyAlignment="1">
      <alignment horizontal="center"/>
    </xf>
    <xf numFmtId="172" fontId="6" fillId="55" borderId="92" xfId="16" applyNumberFormat="1" applyFont="1" applyFill="1" applyBorder="1" applyAlignment="1">
      <alignment horizontal="right"/>
    </xf>
    <xf numFmtId="172" fontId="6" fillId="55" borderId="93" xfId="16" applyNumberFormat="1" applyFont="1" applyFill="1" applyBorder="1" applyAlignment="1">
      <alignment horizontal="right"/>
    </xf>
    <xf numFmtId="0" fontId="61" fillId="0" borderId="0" xfId="16" applyFont="1"/>
    <xf numFmtId="0" fontId="62" fillId="0" borderId="0" xfId="16" applyFont="1"/>
    <xf numFmtId="0" fontId="16" fillId="0" borderId="0" xfId="16" applyFont="1"/>
    <xf numFmtId="9" fontId="46" fillId="63" borderId="0" xfId="16" applyNumberFormat="1" applyFont="1" applyFill="1"/>
    <xf numFmtId="0" fontId="46" fillId="63" borderId="0" xfId="16" applyFont="1" applyFill="1"/>
    <xf numFmtId="0" fontId="46" fillId="0" borderId="0" xfId="16" applyFont="1"/>
    <xf numFmtId="10" fontId="46" fillId="63" borderId="0" xfId="16" applyNumberFormat="1" applyFont="1" applyFill="1"/>
    <xf numFmtId="0" fontId="6" fillId="55" borderId="91" xfId="16" applyFont="1" applyFill="1" applyBorder="1" applyAlignment="1">
      <alignment horizontal="center"/>
    </xf>
    <xf numFmtId="166" fontId="6" fillId="0" borderId="0" xfId="16" applyNumberFormat="1" applyFont="1"/>
    <xf numFmtId="10" fontId="6" fillId="0" borderId="0" xfId="16" applyNumberFormat="1" applyFont="1"/>
    <xf numFmtId="0" fontId="6" fillId="41" borderId="5" xfId="16" applyFont="1" applyFill="1" applyBorder="1" applyAlignment="1">
      <alignment horizontal="center"/>
    </xf>
    <xf numFmtId="0" fontId="6" fillId="41" borderId="11" xfId="16" applyFont="1" applyFill="1" applyBorder="1" applyAlignment="1">
      <alignment horizontal="center"/>
    </xf>
    <xf numFmtId="0" fontId="6" fillId="41" borderId="6" xfId="16" applyFont="1" applyFill="1" applyBorder="1" applyAlignment="1">
      <alignment horizontal="center"/>
    </xf>
    <xf numFmtId="0" fontId="6" fillId="41" borderId="7" xfId="16" applyFont="1" applyFill="1" applyBorder="1" applyAlignment="1">
      <alignment horizontal="center"/>
    </xf>
    <xf numFmtId="172" fontId="6" fillId="0" borderId="1" xfId="16" applyNumberFormat="1" applyFont="1" applyBorder="1" applyAlignment="1">
      <alignment horizontal="right"/>
    </xf>
    <xf numFmtId="172" fontId="6" fillId="0" borderId="8" xfId="16" applyNumberFormat="1" applyFont="1" applyBorder="1" applyAlignment="1">
      <alignment horizontal="right"/>
    </xf>
    <xf numFmtId="0" fontId="6" fillId="41" borderId="9" xfId="16" applyFont="1" applyFill="1" applyBorder="1" applyAlignment="1">
      <alignment horizontal="center"/>
    </xf>
    <xf numFmtId="172" fontId="6" fillId="0" borderId="12" xfId="16" applyNumberFormat="1" applyFont="1" applyBorder="1" applyAlignment="1">
      <alignment horizontal="right"/>
    </xf>
    <xf numFmtId="172" fontId="6" fillId="0" borderId="10" xfId="16" applyNumberFormat="1" applyFont="1" applyBorder="1" applyAlignment="1">
      <alignment horizontal="right"/>
    </xf>
    <xf numFmtId="0" fontId="6" fillId="79" borderId="77" xfId="16" applyFont="1" applyFill="1" applyBorder="1" applyAlignment="1">
      <alignment horizontal="center"/>
    </xf>
    <xf numFmtId="0" fontId="3" fillId="0" borderId="110" xfId="0" applyFont="1" applyBorder="1"/>
    <xf numFmtId="44" fontId="3" fillId="0" borderId="95" xfId="2" applyFont="1" applyBorder="1"/>
    <xf numFmtId="0" fontId="3" fillId="0" borderId="63" xfId="0" applyFont="1" applyBorder="1"/>
    <xf numFmtId="9" fontId="3" fillId="0" borderId="63" xfId="17" applyFont="1" applyBorder="1"/>
    <xf numFmtId="2" fontId="3" fillId="0" borderId="63" xfId="0" applyNumberFormat="1" applyFont="1" applyBorder="1"/>
    <xf numFmtId="177" fontId="3" fillId="0" borderId="63" xfId="0" applyNumberFormat="1" applyFont="1" applyBorder="1"/>
    <xf numFmtId="177" fontId="3" fillId="0" borderId="94" xfId="0" applyNumberFormat="1" applyFont="1" applyBorder="1"/>
    <xf numFmtId="0" fontId="3" fillId="0" borderId="113" xfId="0" applyFont="1" applyBorder="1"/>
    <xf numFmtId="44" fontId="3" fillId="0" borderId="114" xfId="2" applyFont="1" applyBorder="1"/>
    <xf numFmtId="0" fontId="3" fillId="0" borderId="70" xfId="0" applyFont="1" applyBorder="1"/>
    <xf numFmtId="9" fontId="3" fillId="0" borderId="70" xfId="17" applyFont="1" applyBorder="1"/>
    <xf numFmtId="0" fontId="3" fillId="0" borderId="106" xfId="0" applyFont="1" applyBorder="1"/>
    <xf numFmtId="0" fontId="37" fillId="49" borderId="97" xfId="0" applyFont="1" applyFill="1" applyBorder="1" applyAlignment="1">
      <alignment horizontal="center" vertical="center"/>
    </xf>
    <xf numFmtId="2" fontId="3" fillId="0" borderId="0" xfId="0" applyNumberFormat="1" applyFont="1"/>
    <xf numFmtId="177" fontId="3" fillId="0" borderId="0" xfId="0" applyNumberFormat="1" applyFont="1"/>
    <xf numFmtId="9" fontId="6" fillId="0" borderId="30" xfId="0" applyNumberFormat="1" applyFont="1" applyBorder="1" applyAlignment="1">
      <alignment horizontal="center"/>
    </xf>
    <xf numFmtId="0" fontId="7" fillId="0" borderId="63" xfId="0" applyFont="1" applyBorder="1"/>
    <xf numFmtId="0" fontId="37" fillId="42" borderId="106" xfId="16" applyFont="1" applyFill="1" applyBorder="1"/>
    <xf numFmtId="0" fontId="3" fillId="49" borderId="132" xfId="16" applyFill="1" applyBorder="1"/>
    <xf numFmtId="0" fontId="3" fillId="49" borderId="133" xfId="16" applyFill="1" applyBorder="1"/>
    <xf numFmtId="0" fontId="3" fillId="49" borderId="122" xfId="16" applyFill="1" applyBorder="1"/>
    <xf numFmtId="0" fontId="66" fillId="75" borderId="169" xfId="16" applyFont="1" applyFill="1" applyBorder="1" applyAlignment="1">
      <alignment wrapText="1"/>
    </xf>
    <xf numFmtId="0" fontId="20" fillId="76" borderId="170" xfId="16" applyFont="1" applyFill="1" applyBorder="1" applyAlignment="1">
      <alignment horizontal="right" wrapText="1"/>
    </xf>
    <xf numFmtId="0" fontId="20" fillId="76" borderId="171" xfId="16" applyFont="1" applyFill="1" applyBorder="1" applyAlignment="1">
      <alignment horizontal="right" wrapText="1"/>
    </xf>
    <xf numFmtId="0" fontId="37" fillId="42" borderId="110" xfId="16" applyFont="1" applyFill="1" applyBorder="1"/>
    <xf numFmtId="0" fontId="3" fillId="0" borderId="107" xfId="16" applyBorder="1" applyAlignment="1">
      <alignment horizontal="center"/>
    </xf>
    <xf numFmtId="0" fontId="3" fillId="39" borderId="108" xfId="18" applyBorder="1" applyAlignment="1">
      <alignment horizontal="center"/>
    </xf>
    <xf numFmtId="0" fontId="3" fillId="39" borderId="121" xfId="18" applyBorder="1" applyAlignment="1">
      <alignment horizontal="center"/>
    </xf>
    <xf numFmtId="0" fontId="20" fillId="0" borderId="172" xfId="16" applyFont="1" applyBorder="1" applyAlignment="1">
      <alignment wrapText="1"/>
    </xf>
    <xf numFmtId="0" fontId="20" fillId="77" borderId="172" xfId="16" applyFont="1" applyFill="1" applyBorder="1" applyAlignment="1">
      <alignment wrapText="1"/>
    </xf>
    <xf numFmtId="0" fontId="3" fillId="0" borderId="95" xfId="16" applyBorder="1" applyAlignment="1">
      <alignment horizontal="center"/>
    </xf>
    <xf numFmtId="0" fontId="3" fillId="0" borderId="63" xfId="16" applyBorder="1" applyAlignment="1">
      <alignment horizontal="center"/>
    </xf>
    <xf numFmtId="0" fontId="3" fillId="0" borderId="68" xfId="16" applyBorder="1" applyAlignment="1">
      <alignment horizontal="center"/>
    </xf>
    <xf numFmtId="186" fontId="20" fillId="0" borderId="172" xfId="16" applyNumberFormat="1" applyFont="1" applyBorder="1" applyAlignment="1">
      <alignment horizontal="center" wrapText="1"/>
    </xf>
    <xf numFmtId="0" fontId="3" fillId="0" borderId="95" xfId="16" applyBorder="1"/>
    <xf numFmtId="2" fontId="3" fillId="0" borderId="63" xfId="16" applyNumberFormat="1" applyBorder="1"/>
    <xf numFmtId="2" fontId="3" fillId="0" borderId="68" xfId="16" applyNumberFormat="1" applyBorder="1"/>
    <xf numFmtId="0" fontId="20" fillId="0" borderId="172" xfId="16" applyFont="1" applyBorder="1" applyAlignment="1">
      <alignment horizontal="right" wrapText="1"/>
    </xf>
    <xf numFmtId="0" fontId="20" fillId="0" borderId="173" xfId="16" applyFont="1" applyBorder="1" applyAlignment="1">
      <alignment horizontal="right" wrapText="1"/>
    </xf>
    <xf numFmtId="0" fontId="37" fillId="42" borderId="113" xfId="16" applyFont="1" applyFill="1" applyBorder="1"/>
    <xf numFmtId="177" fontId="3" fillId="48" borderId="114" xfId="19" applyFont="1" applyFill="1" applyBorder="1"/>
    <xf numFmtId="177" fontId="3" fillId="48" borderId="70" xfId="19" applyFont="1" applyFill="1" applyBorder="1"/>
    <xf numFmtId="177" fontId="3" fillId="48" borderId="71" xfId="19" applyFont="1" applyFill="1" applyBorder="1"/>
    <xf numFmtId="0" fontId="66" fillId="75" borderId="174" xfId="16" applyFont="1" applyFill="1" applyBorder="1" applyAlignment="1">
      <alignment wrapText="1"/>
    </xf>
    <xf numFmtId="0" fontId="20" fillId="78" borderId="170" xfId="16" applyFont="1" applyFill="1" applyBorder="1" applyAlignment="1">
      <alignment horizontal="right" wrapText="1"/>
    </xf>
    <xf numFmtId="0" fontId="20" fillId="78" borderId="171" xfId="16" applyFont="1" applyFill="1" applyBorder="1" applyAlignment="1">
      <alignment horizontal="right" wrapText="1"/>
    </xf>
    <xf numFmtId="0" fontId="37" fillId="42" borderId="97" xfId="16" applyFont="1" applyFill="1" applyBorder="1"/>
    <xf numFmtId="0" fontId="37" fillId="42" borderId="132" xfId="16" applyFont="1" applyFill="1" applyBorder="1"/>
    <xf numFmtId="0" fontId="37" fillId="42" borderId="133" xfId="16" applyFont="1" applyFill="1" applyBorder="1"/>
    <xf numFmtId="0" fontId="37" fillId="42" borderId="122" xfId="16" applyFont="1" applyFill="1" applyBorder="1"/>
    <xf numFmtId="0" fontId="3" fillId="49" borderId="106" xfId="16" applyFill="1" applyBorder="1"/>
    <xf numFmtId="2" fontId="3" fillId="0" borderId="108" xfId="16" applyNumberFormat="1" applyBorder="1"/>
    <xf numFmtId="177" fontId="0" fillId="0" borderId="108" xfId="19" applyFont="1" applyBorder="1"/>
    <xf numFmtId="0" fontId="3" fillId="49" borderId="110" xfId="16" applyFill="1" applyBorder="1"/>
    <xf numFmtId="177" fontId="0" fillId="0" borderId="63" xfId="19" applyFont="1" applyBorder="1"/>
    <xf numFmtId="0" fontId="3" fillId="49" borderId="113" xfId="16" applyFill="1" applyBorder="1"/>
    <xf numFmtId="2" fontId="3" fillId="0" borderId="70" xfId="16" applyNumberFormat="1" applyBorder="1"/>
    <xf numFmtId="177" fontId="0" fillId="0" borderId="70" xfId="19" applyFont="1" applyBorder="1"/>
    <xf numFmtId="0" fontId="68" fillId="0" borderId="0" xfId="16" applyFont="1"/>
    <xf numFmtId="0" fontId="68" fillId="49" borderId="67" xfId="16" applyFont="1" applyFill="1" applyBorder="1"/>
    <xf numFmtId="0" fontId="3" fillId="0" borderId="68" xfId="16" applyBorder="1"/>
    <xf numFmtId="0" fontId="68" fillId="49" borderId="69" xfId="16" applyFont="1" applyFill="1" applyBorder="1"/>
    <xf numFmtId="0" fontId="3" fillId="0" borderId="71" xfId="16" applyBorder="1"/>
    <xf numFmtId="0" fontId="3" fillId="0" borderId="56" xfId="16" applyBorder="1"/>
    <xf numFmtId="0" fontId="3" fillId="0" borderId="57" xfId="16" applyBorder="1"/>
    <xf numFmtId="0" fontId="3" fillId="0" borderId="50" xfId="16" applyBorder="1"/>
    <xf numFmtId="0" fontId="3" fillId="0" borderId="58" xfId="16" applyBorder="1"/>
    <xf numFmtId="0" fontId="20" fillId="0" borderId="0" xfId="16" applyFont="1"/>
    <xf numFmtId="0" fontId="20" fillId="0" borderId="59" xfId="16" applyFont="1" applyBorder="1"/>
    <xf numFmtId="0" fontId="3" fillId="0" borderId="59" xfId="16" applyBorder="1"/>
    <xf numFmtId="0" fontId="37" fillId="42" borderId="43" xfId="16" applyFont="1" applyFill="1" applyBorder="1" applyAlignment="1">
      <alignment horizontal="center" vertical="center"/>
    </xf>
    <xf numFmtId="0" fontId="3" fillId="49" borderId="132" xfId="16" applyFill="1" applyBorder="1" applyAlignment="1">
      <alignment horizontal="center" vertical="center"/>
    </xf>
    <xf numFmtId="0" fontId="3" fillId="49" borderId="133" xfId="16" applyFill="1" applyBorder="1" applyAlignment="1">
      <alignment horizontal="center" vertical="center"/>
    </xf>
    <xf numFmtId="0" fontId="3" fillId="49" borderId="122" xfId="16" applyFill="1" applyBorder="1" applyAlignment="1">
      <alignment horizontal="center" vertical="center"/>
    </xf>
    <xf numFmtId="0" fontId="37" fillId="42" borderId="97" xfId="16" applyFont="1" applyFill="1" applyBorder="1" applyAlignment="1">
      <alignment horizontal="center" vertical="center"/>
    </xf>
    <xf numFmtId="0" fontId="3" fillId="0" borderId="108" xfId="16" applyBorder="1" applyAlignment="1">
      <alignment horizontal="center" vertical="center"/>
    </xf>
    <xf numFmtId="0" fontId="3" fillId="0" borderId="121" xfId="16" applyBorder="1" applyAlignment="1">
      <alignment horizontal="center" vertical="center"/>
    </xf>
    <xf numFmtId="0" fontId="3" fillId="0" borderId="70" xfId="16" applyBorder="1" applyAlignment="1">
      <alignment horizontal="center" vertical="center"/>
    </xf>
    <xf numFmtId="0" fontId="3" fillId="0" borderId="71" xfId="16" applyBorder="1" applyAlignment="1">
      <alignment horizontal="center" vertical="center"/>
    </xf>
    <xf numFmtId="0" fontId="3" fillId="49" borderId="97" xfId="16" applyFill="1" applyBorder="1" applyAlignment="1">
      <alignment horizontal="center" vertical="center"/>
    </xf>
    <xf numFmtId="0" fontId="3" fillId="49" borderId="44" xfId="16" applyFill="1" applyBorder="1" applyAlignment="1">
      <alignment horizontal="center" vertical="center"/>
    </xf>
    <xf numFmtId="0" fontId="3" fillId="0" borderId="110" xfId="16" applyBorder="1" applyAlignment="1">
      <alignment horizontal="center"/>
    </xf>
    <xf numFmtId="9" fontId="0" fillId="0" borderId="175" xfId="17" applyFont="1" applyBorder="1" applyAlignment="1">
      <alignment horizontal="center"/>
    </xf>
    <xf numFmtId="0" fontId="98" fillId="0" borderId="0" xfId="16" applyFont="1"/>
    <xf numFmtId="0" fontId="3" fillId="0" borderId="113" xfId="16" applyBorder="1" applyAlignment="1">
      <alignment horizontal="center"/>
    </xf>
    <xf numFmtId="9" fontId="0" fillId="0" borderId="176" xfId="17" applyFont="1" applyBorder="1" applyAlignment="1">
      <alignment horizontal="center"/>
    </xf>
    <xf numFmtId="0" fontId="3" fillId="0" borderId="70" xfId="16" applyBorder="1"/>
    <xf numFmtId="0" fontId="98" fillId="0" borderId="59" xfId="16" applyFont="1" applyBorder="1"/>
    <xf numFmtId="9" fontId="0" fillId="0" borderId="69" xfId="17" applyFont="1" applyBorder="1"/>
    <xf numFmtId="9" fontId="0" fillId="0" borderId="70" xfId="17" applyFont="1" applyBorder="1"/>
    <xf numFmtId="9" fontId="0" fillId="0" borderId="71" xfId="17" applyFont="1" applyBorder="1"/>
    <xf numFmtId="0" fontId="3" fillId="0" borderId="75" xfId="16" applyBorder="1"/>
    <xf numFmtId="0" fontId="3" fillId="0" borderId="61" xfId="16" applyBorder="1"/>
    <xf numFmtId="0" fontId="3" fillId="0" borderId="54" xfId="16" applyBorder="1"/>
    <xf numFmtId="177" fontId="0" fillId="21" borderId="120" xfId="19" applyFont="1" applyFill="1" applyBorder="1"/>
    <xf numFmtId="177" fontId="0" fillId="21" borderId="67" xfId="19" applyFont="1" applyFill="1" applyBorder="1"/>
    <xf numFmtId="177" fontId="0" fillId="21" borderId="69" xfId="19" applyFont="1" applyFill="1" applyBorder="1"/>
    <xf numFmtId="2" fontId="3" fillId="21" borderId="121" xfId="16" applyNumberFormat="1" applyFill="1" applyBorder="1"/>
    <xf numFmtId="2" fontId="3" fillId="21" borderId="68" xfId="16" applyNumberFormat="1" applyFill="1" applyBorder="1"/>
    <xf numFmtId="2" fontId="3" fillId="21" borderId="71" xfId="16" applyNumberFormat="1" applyFill="1" applyBorder="1"/>
    <xf numFmtId="44" fontId="0" fillId="14" borderId="0" xfId="2" applyFont="1" applyFill="1"/>
    <xf numFmtId="0" fontId="7" fillId="14" borderId="56" xfId="0" applyFont="1" applyFill="1" applyBorder="1"/>
    <xf numFmtId="0" fontId="0" fillId="14" borderId="57" xfId="0" applyFill="1" applyBorder="1"/>
    <xf numFmtId="0" fontId="7" fillId="14" borderId="57" xfId="0" applyFont="1" applyFill="1" applyBorder="1" applyAlignment="1">
      <alignment horizontal="right"/>
    </xf>
    <xf numFmtId="44" fontId="0" fillId="14" borderId="50" xfId="2" applyFont="1" applyFill="1" applyBorder="1"/>
    <xf numFmtId="0" fontId="0" fillId="14" borderId="58" xfId="0" applyFill="1" applyBorder="1"/>
    <xf numFmtId="0" fontId="7" fillId="14" borderId="59" xfId="0" applyFont="1" applyFill="1" applyBorder="1"/>
    <xf numFmtId="0" fontId="0" fillId="14" borderId="75" xfId="0" applyFill="1" applyBorder="1"/>
    <xf numFmtId="0" fontId="0" fillId="14" borderId="61" xfId="0" applyFill="1" applyBorder="1"/>
    <xf numFmtId="0" fontId="7" fillId="14" borderId="54" xfId="0" applyFont="1" applyFill="1" applyBorder="1"/>
    <xf numFmtId="0" fontId="6" fillId="14" borderId="1" xfId="0" applyFont="1" applyFill="1" applyBorder="1"/>
    <xf numFmtId="10" fontId="0" fillId="0" borderId="0" xfId="0" applyNumberFormat="1"/>
    <xf numFmtId="10" fontId="20" fillId="66" borderId="0" xfId="0" applyNumberFormat="1" applyFont="1" applyFill="1"/>
    <xf numFmtId="10" fontId="20" fillId="42" borderId="0" xfId="0" applyNumberFormat="1" applyFont="1" applyFill="1"/>
    <xf numFmtId="177" fontId="16" fillId="14" borderId="0" xfId="11" applyNumberFormat="1" applyFont="1" applyFill="1"/>
    <xf numFmtId="0" fontId="3" fillId="0" borderId="0" xfId="11" applyFont="1"/>
    <xf numFmtId="0" fontId="37" fillId="14" borderId="0" xfId="11" applyFont="1" applyFill="1"/>
    <xf numFmtId="44" fontId="37" fillId="14" borderId="0" xfId="11" applyNumberFormat="1" applyFont="1" applyFill="1"/>
    <xf numFmtId="0" fontId="7" fillId="21" borderId="0" xfId="0" applyFont="1" applyFill="1"/>
    <xf numFmtId="44" fontId="7" fillId="21" borderId="0" xfId="2" applyFont="1" applyFill="1" applyAlignment="1">
      <alignment wrapText="1"/>
    </xf>
    <xf numFmtId="0" fontId="51" fillId="21" borderId="0" xfId="0" applyFont="1" applyFill="1"/>
    <xf numFmtId="0" fontId="3" fillId="0" borderId="0" xfId="0" applyFont="1"/>
    <xf numFmtId="0" fontId="3" fillId="0" borderId="0" xfId="0" applyFont="1" applyAlignment="1">
      <alignment horizontal="center"/>
    </xf>
    <xf numFmtId="177" fontId="3" fillId="0" borderId="0" xfId="19" applyFont="1" applyAlignment="1">
      <alignment horizontal="center"/>
    </xf>
    <xf numFmtId="9" fontId="3" fillId="0" borderId="0" xfId="0" applyNumberFormat="1" applyFont="1" applyAlignment="1">
      <alignment horizontal="center"/>
    </xf>
    <xf numFmtId="10" fontId="3" fillId="0" borderId="0" xfId="0" applyNumberFormat="1" applyFont="1" applyAlignment="1">
      <alignment horizontal="center"/>
    </xf>
    <xf numFmtId="0" fontId="3" fillId="21" borderId="0" xfId="0" applyFont="1" applyFill="1" applyAlignment="1">
      <alignment wrapText="1"/>
    </xf>
    <xf numFmtId="0" fontId="3" fillId="21" borderId="0" xfId="0" applyFont="1" applyFill="1"/>
    <xf numFmtId="44" fontId="0" fillId="0" borderId="0" xfId="2" applyFont="1" applyFill="1"/>
    <xf numFmtId="164" fontId="6" fillId="21" borderId="63" xfId="0" applyNumberFormat="1" applyFont="1" applyFill="1" applyBorder="1"/>
    <xf numFmtId="164" fontId="6" fillId="68" borderId="63" xfId="0" applyNumberFormat="1" applyFont="1" applyFill="1" applyBorder="1"/>
    <xf numFmtId="164" fontId="6" fillId="68" borderId="1" xfId="0" applyNumberFormat="1" applyFont="1" applyFill="1" applyBorder="1"/>
    <xf numFmtId="164" fontId="6" fillId="21" borderId="1" xfId="0" applyNumberFormat="1" applyFont="1" applyFill="1" applyBorder="1"/>
    <xf numFmtId="44" fontId="22" fillId="21" borderId="0" xfId="2" applyFont="1" applyFill="1" applyAlignment="1">
      <alignment wrapText="1"/>
    </xf>
    <xf numFmtId="0" fontId="6" fillId="46" borderId="4" xfId="0" applyFont="1" applyFill="1" applyBorder="1"/>
    <xf numFmtId="184" fontId="6" fillId="46" borderId="1" xfId="0" applyNumberFormat="1" applyFont="1" applyFill="1" applyBorder="1"/>
    <xf numFmtId="44" fontId="0" fillId="21" borderId="0" xfId="0" applyNumberFormat="1" applyFill="1"/>
    <xf numFmtId="0" fontId="7" fillId="0" borderId="56" xfId="0" applyFont="1" applyBorder="1" applyAlignment="1">
      <alignment wrapText="1"/>
    </xf>
    <xf numFmtId="44" fontId="0" fillId="0" borderId="50" xfId="2" applyFont="1" applyBorder="1"/>
    <xf numFmtId="44" fontId="0" fillId="0" borderId="59" xfId="2" applyFont="1" applyBorder="1"/>
    <xf numFmtId="44" fontId="0" fillId="0" borderId="54" xfId="2" applyFont="1" applyBorder="1"/>
    <xf numFmtId="164" fontId="6" fillId="23" borderId="1" xfId="0" applyNumberFormat="1" applyFont="1" applyFill="1" applyBorder="1"/>
    <xf numFmtId="0" fontId="7" fillId="23" borderId="0" xfId="0" applyFont="1" applyFill="1" applyAlignment="1">
      <alignment wrapText="1"/>
    </xf>
    <xf numFmtId="164" fontId="6" fillId="23" borderId="63" xfId="0" applyNumberFormat="1" applyFont="1" applyFill="1" applyBorder="1"/>
    <xf numFmtId="9" fontId="4" fillId="0" borderId="59" xfId="11" applyNumberFormat="1" applyBorder="1"/>
    <xf numFmtId="9" fontId="4" fillId="0" borderId="59" xfId="1" applyFont="1" applyBorder="1"/>
    <xf numFmtId="44" fontId="4" fillId="0" borderId="54" xfId="2" applyFont="1" applyBorder="1"/>
    <xf numFmtId="172" fontId="4" fillId="0" borderId="58" xfId="11" applyNumberFormat="1" applyBorder="1"/>
    <xf numFmtId="44" fontId="0" fillId="46" borderId="0" xfId="2" applyFont="1" applyFill="1"/>
    <xf numFmtId="0" fontId="6" fillId="0" borderId="37" xfId="0" applyFont="1" applyBorder="1"/>
    <xf numFmtId="9" fontId="0" fillId="21" borderId="0" xfId="0" applyNumberFormat="1" applyFill="1"/>
    <xf numFmtId="10" fontId="6" fillId="21" borderId="2" xfId="1" applyNumberFormat="1" applyFont="1" applyFill="1" applyBorder="1" applyAlignment="1">
      <alignment horizontal="right"/>
    </xf>
    <xf numFmtId="9" fontId="6" fillId="0" borderId="8" xfId="1" applyFont="1" applyFill="1" applyBorder="1" applyAlignment="1">
      <alignment horizontal="right"/>
    </xf>
    <xf numFmtId="10" fontId="17" fillId="10" borderId="8" xfId="1" applyNumberFormat="1" applyFont="1" applyFill="1" applyBorder="1" applyAlignment="1">
      <alignment horizontal="right"/>
    </xf>
    <xf numFmtId="43" fontId="0" fillId="21" borderId="0" xfId="3" applyFont="1" applyFill="1"/>
    <xf numFmtId="0" fontId="43" fillId="0" borderId="0" xfId="20" applyFont="1"/>
    <xf numFmtId="0" fontId="103" fillId="0" borderId="0" xfId="20"/>
    <xf numFmtId="0" fontId="70" fillId="80" borderId="13" xfId="20" applyFont="1" applyFill="1" applyBorder="1"/>
    <xf numFmtId="0" fontId="42" fillId="0" borderId="0" xfId="20" applyFont="1"/>
    <xf numFmtId="0" fontId="70" fillId="58" borderId="2" xfId="20" applyFont="1" applyFill="1" applyBorder="1" applyAlignment="1">
      <alignment horizontal="center"/>
    </xf>
    <xf numFmtId="0" fontId="70" fillId="58" borderId="1" xfId="20" applyFont="1" applyFill="1" applyBorder="1" applyAlignment="1">
      <alignment horizontal="center"/>
    </xf>
    <xf numFmtId="0" fontId="70" fillId="58" borderId="4" xfId="20" applyFont="1" applyFill="1" applyBorder="1" applyAlignment="1">
      <alignment horizontal="center"/>
    </xf>
    <xf numFmtId="183" fontId="43" fillId="0" borderId="0" xfId="20" applyNumberFormat="1" applyFont="1"/>
    <xf numFmtId="0" fontId="69" fillId="0" borderId="0" xfId="20" applyFont="1" applyAlignment="1">
      <alignment horizontal="left"/>
    </xf>
    <xf numFmtId="0" fontId="69" fillId="0" borderId="0" xfId="20" applyFont="1"/>
    <xf numFmtId="180" fontId="43" fillId="0" borderId="0" xfId="20" applyNumberFormat="1" applyFont="1"/>
    <xf numFmtId="9" fontId="69" fillId="0" borderId="0" xfId="20" applyNumberFormat="1" applyFont="1"/>
    <xf numFmtId="0" fontId="69" fillId="0" borderId="99" xfId="20" applyFont="1" applyBorder="1" applyAlignment="1">
      <alignment horizontal="left"/>
    </xf>
    <xf numFmtId="9" fontId="69" fillId="0" borderId="99" xfId="20" applyNumberFormat="1" applyFont="1" applyBorder="1"/>
    <xf numFmtId="0" fontId="43" fillId="0" borderId="99" xfId="20" applyFont="1" applyBorder="1"/>
    <xf numFmtId="183" fontId="43" fillId="0" borderId="99" xfId="20" applyNumberFormat="1" applyFont="1" applyBorder="1"/>
    <xf numFmtId="180" fontId="43" fillId="0" borderId="99" xfId="20" applyNumberFormat="1" applyFont="1" applyBorder="1"/>
    <xf numFmtId="0" fontId="6" fillId="0" borderId="0" xfId="20" applyFont="1" applyAlignment="1">
      <alignment horizontal="left"/>
    </xf>
    <xf numFmtId="0" fontId="70" fillId="58" borderId="1" xfId="20" applyFont="1" applyFill="1" applyBorder="1"/>
    <xf numFmtId="0" fontId="70" fillId="0" borderId="178" xfId="20" applyFont="1" applyBorder="1"/>
    <xf numFmtId="0" fontId="70" fillId="0" borderId="0" xfId="20" applyFont="1"/>
    <xf numFmtId="0" fontId="69" fillId="0" borderId="99" xfId="20" applyFont="1" applyBorder="1"/>
    <xf numFmtId="0" fontId="70" fillId="0" borderId="2" xfId="20" applyFont="1" applyBorder="1"/>
    <xf numFmtId="0" fontId="70" fillId="0" borderId="3" xfId="20" applyFont="1" applyBorder="1"/>
    <xf numFmtId="0" fontId="42" fillId="0" borderId="3" xfId="20" applyFont="1" applyBorder="1"/>
    <xf numFmtId="180" fontId="42" fillId="0" borderId="3" xfId="20" applyNumberFormat="1" applyFont="1" applyBorder="1"/>
    <xf numFmtId="180" fontId="42" fillId="82" borderId="1" xfId="20" applyNumberFormat="1" applyFont="1" applyFill="1" applyBorder="1"/>
    <xf numFmtId="180" fontId="42" fillId="67" borderId="1" xfId="20" applyNumberFormat="1" applyFont="1" applyFill="1" applyBorder="1"/>
    <xf numFmtId="180" fontId="42" fillId="0" borderId="4" xfId="20" applyNumberFormat="1" applyFont="1" applyBorder="1"/>
    <xf numFmtId="0" fontId="43" fillId="0" borderId="0" xfId="20" applyFont="1" applyAlignment="1">
      <alignment vertical="center" wrapText="1"/>
    </xf>
    <xf numFmtId="0" fontId="69" fillId="0" borderId="1" xfId="20" applyFont="1" applyBorder="1" applyAlignment="1">
      <alignment vertical="center" wrapText="1"/>
    </xf>
    <xf numFmtId="0" fontId="43" fillId="0" borderId="1" xfId="20" applyFont="1" applyBorder="1" applyAlignment="1">
      <alignment horizontal="center" vertical="center" wrapText="1"/>
    </xf>
    <xf numFmtId="183" fontId="69" fillId="0" borderId="0" xfId="20" applyNumberFormat="1" applyFont="1"/>
    <xf numFmtId="180" fontId="69" fillId="0" borderId="0" xfId="20" applyNumberFormat="1" applyFont="1"/>
    <xf numFmtId="180" fontId="70" fillId="67" borderId="1" xfId="20" applyNumberFormat="1" applyFont="1" applyFill="1" applyBorder="1"/>
    <xf numFmtId="10" fontId="69" fillId="0" borderId="0" xfId="20" applyNumberFormat="1" applyFont="1"/>
    <xf numFmtId="180" fontId="70" fillId="0" borderId="1" xfId="20" applyNumberFormat="1" applyFont="1" applyBorder="1"/>
    <xf numFmtId="180" fontId="70" fillId="0" borderId="0" xfId="20" applyNumberFormat="1" applyFont="1"/>
    <xf numFmtId="44" fontId="3" fillId="0" borderId="0" xfId="2" applyFont="1"/>
    <xf numFmtId="0" fontId="6" fillId="14" borderId="4" xfId="0" applyFont="1" applyFill="1" applyBorder="1"/>
    <xf numFmtId="0" fontId="25" fillId="14" borderId="0" xfId="0" applyFont="1" applyFill="1" applyAlignment="1">
      <alignment wrapText="1"/>
    </xf>
    <xf numFmtId="0" fontId="66" fillId="0" borderId="0" xfId="16" applyFont="1" applyAlignment="1">
      <alignment horizontal="right"/>
    </xf>
    <xf numFmtId="9" fontId="66" fillId="0" borderId="0" xfId="16" applyNumberFormat="1" applyFont="1" applyAlignment="1">
      <alignment horizontal="right"/>
    </xf>
    <xf numFmtId="0" fontId="104" fillId="42" borderId="0" xfId="0" applyFont="1" applyFill="1"/>
    <xf numFmtId="0" fontId="105" fillId="42" borderId="0" xfId="0" applyFont="1" applyFill="1"/>
    <xf numFmtId="0" fontId="105" fillId="42" borderId="0" xfId="0" applyFont="1" applyFill="1" applyAlignment="1">
      <alignment wrapText="1"/>
    </xf>
    <xf numFmtId="0" fontId="105" fillId="14" borderId="0" xfId="0" applyFont="1" applyFill="1" applyAlignment="1">
      <alignment wrapText="1"/>
    </xf>
    <xf numFmtId="0" fontId="48" fillId="42" borderId="0" xfId="0" applyFont="1" applyFill="1"/>
    <xf numFmtId="0" fontId="104" fillId="42" borderId="0" xfId="11" applyFont="1" applyFill="1"/>
    <xf numFmtId="43" fontId="106" fillId="14" borderId="0" xfId="0" applyNumberFormat="1" applyFont="1" applyFill="1" applyAlignment="1">
      <alignment vertical="center"/>
    </xf>
    <xf numFmtId="43" fontId="106" fillId="14" borderId="0" xfId="3" applyFont="1" applyFill="1" applyAlignment="1">
      <alignment vertical="center" wrapText="1"/>
    </xf>
    <xf numFmtId="43" fontId="22" fillId="14" borderId="0" xfId="0" applyNumberFormat="1" applyFont="1" applyFill="1"/>
    <xf numFmtId="177" fontId="3" fillId="0" borderId="95" xfId="19" applyFont="1" applyBorder="1"/>
    <xf numFmtId="177" fontId="3" fillId="0" borderId="114" xfId="19" applyFont="1" applyBorder="1"/>
    <xf numFmtId="177" fontId="35" fillId="37" borderId="73" xfId="19" applyFont="1" applyFill="1" applyBorder="1" applyAlignment="1"/>
    <xf numFmtId="0" fontId="3" fillId="0" borderId="111" xfId="0" applyFont="1" applyBorder="1"/>
    <xf numFmtId="177" fontId="3" fillId="0" borderId="88" xfId="19" applyFont="1" applyBorder="1"/>
    <xf numFmtId="0" fontId="3" fillId="0" borderId="85" xfId="0" applyFont="1" applyBorder="1"/>
    <xf numFmtId="9" fontId="3" fillId="0" borderId="85" xfId="17" applyFont="1" applyBorder="1"/>
    <xf numFmtId="187" fontId="3" fillId="0" borderId="94" xfId="0" applyNumberFormat="1" applyFont="1" applyBorder="1"/>
    <xf numFmtId="44" fontId="0" fillId="44" borderId="0" xfId="2" applyFont="1" applyFill="1"/>
    <xf numFmtId="44" fontId="0" fillId="23" borderId="0" xfId="2" applyFont="1" applyFill="1"/>
    <xf numFmtId="0" fontId="36" fillId="11" borderId="0" xfId="21" applyFont="1" applyFill="1" applyAlignment="1">
      <alignment horizontal="center" vertical="center"/>
    </xf>
    <xf numFmtId="0" fontId="37" fillId="11" borderId="0" xfId="21" applyFont="1" applyFill="1" applyAlignment="1">
      <alignment horizontal="center" vertical="center"/>
    </xf>
    <xf numFmtId="0" fontId="2" fillId="0" borderId="0" xfId="21"/>
    <xf numFmtId="0" fontId="58" fillId="11" borderId="0" xfId="21" applyFont="1" applyFill="1" applyAlignment="1">
      <alignment horizontal="center" vertical="center"/>
    </xf>
    <xf numFmtId="0" fontId="0" fillId="0" borderId="0" xfId="21" applyFont="1"/>
    <xf numFmtId="178" fontId="58" fillId="11" borderId="0" xfId="21" applyNumberFormat="1" applyFont="1" applyFill="1" applyAlignment="1">
      <alignment horizontal="center" vertical="center"/>
    </xf>
    <xf numFmtId="168" fontId="37" fillId="11" borderId="0" xfId="21" applyNumberFormat="1" applyFont="1" applyFill="1" applyAlignment="1">
      <alignment horizontal="center" vertical="center"/>
    </xf>
    <xf numFmtId="0" fontId="108" fillId="83" borderId="0" xfId="21" applyFont="1" applyFill="1" applyAlignment="1">
      <alignment horizontal="center" vertical="center"/>
    </xf>
    <xf numFmtId="0" fontId="108" fillId="84" borderId="0" xfId="21" applyFont="1" applyFill="1"/>
    <xf numFmtId="0" fontId="43" fillId="84" borderId="0" xfId="21" applyFont="1" applyFill="1"/>
    <xf numFmtId="0" fontId="0" fillId="0" borderId="0" xfId="21" applyFont="1" applyAlignment="1">
      <alignment horizontal="left"/>
    </xf>
    <xf numFmtId="188" fontId="43" fillId="0" borderId="0" xfId="21" applyNumberFormat="1" applyFont="1"/>
    <xf numFmtId="188" fontId="2" fillId="0" borderId="0" xfId="21" applyNumberFormat="1"/>
    <xf numFmtId="0" fontId="43" fillId="0" borderId="0" xfId="21" applyFont="1"/>
    <xf numFmtId="188" fontId="109" fillId="11" borderId="0" xfId="21" applyNumberFormat="1" applyFont="1" applyFill="1"/>
    <xf numFmtId="188" fontId="43" fillId="84" borderId="0" xfId="21" applyNumberFormat="1" applyFont="1" applyFill="1"/>
    <xf numFmtId="0" fontId="43" fillId="0" borderId="0" xfId="21" applyFont="1" applyAlignment="1">
      <alignment horizontal="left"/>
    </xf>
    <xf numFmtId="188" fontId="42" fillId="0" borderId="0" xfId="21" applyNumberFormat="1" applyFont="1"/>
    <xf numFmtId="188" fontId="42" fillId="84" borderId="0" xfId="21" applyNumberFormat="1" applyFont="1" applyFill="1"/>
    <xf numFmtId="0" fontId="104" fillId="0" borderId="179" xfId="21" applyFont="1" applyBorder="1"/>
    <xf numFmtId="188" fontId="37" fillId="0" borderId="180" xfId="21" applyNumberFormat="1" applyFont="1" applyBorder="1"/>
    <xf numFmtId="188" fontId="42" fillId="0" borderId="180" xfId="21" applyNumberFormat="1" applyFont="1" applyBorder="1"/>
    <xf numFmtId="188" fontId="42" fillId="0" borderId="181" xfId="21" applyNumberFormat="1" applyFont="1" applyBorder="1"/>
    <xf numFmtId="0" fontId="42" fillId="0" borderId="0" xfId="21" applyFont="1"/>
    <xf numFmtId="0" fontId="43" fillId="0" borderId="0" xfId="21" quotePrefix="1" applyFont="1" applyAlignment="1">
      <alignment horizontal="left"/>
    </xf>
    <xf numFmtId="10" fontId="43" fillId="0" borderId="0" xfId="21" applyNumberFormat="1" applyFont="1"/>
    <xf numFmtId="179" fontId="43" fillId="0" borderId="0" xfId="21" applyNumberFormat="1" applyFont="1"/>
    <xf numFmtId="188" fontId="43" fillId="0" borderId="182" xfId="21" applyNumberFormat="1" applyFont="1" applyBorder="1"/>
    <xf numFmtId="188" fontId="104" fillId="0" borderId="180" xfId="21" applyNumberFormat="1" applyFont="1" applyBorder="1"/>
    <xf numFmtId="188" fontId="110" fillId="0" borderId="180" xfId="21" applyNumberFormat="1" applyFont="1" applyBorder="1"/>
    <xf numFmtId="188" fontId="110" fillId="0" borderId="181" xfId="21" applyNumberFormat="1" applyFont="1" applyBorder="1"/>
    <xf numFmtId="0" fontId="110" fillId="0" borderId="0" xfId="21" applyFont="1"/>
    <xf numFmtId="0" fontId="111" fillId="84" borderId="0" xfId="21" applyFont="1" applyFill="1"/>
    <xf numFmtId="188" fontId="2" fillId="84" borderId="0" xfId="21" applyNumberFormat="1" applyFill="1"/>
    <xf numFmtId="0" fontId="36" fillId="84" borderId="0" xfId="21" applyFont="1" applyFill="1"/>
    <xf numFmtId="189" fontId="107" fillId="0" borderId="0" xfId="21" applyNumberFormat="1" applyFont="1"/>
    <xf numFmtId="188" fontId="112" fillId="11" borderId="0" xfId="21" applyNumberFormat="1" applyFont="1" applyFill="1"/>
    <xf numFmtId="0" fontId="113" fillId="63" borderId="179" xfId="21" applyFont="1" applyFill="1" applyBorder="1" applyAlignment="1">
      <alignment vertical="center"/>
    </xf>
    <xf numFmtId="188" fontId="114" fillId="63" borderId="180" xfId="21" applyNumberFormat="1" applyFont="1" applyFill="1" applyBorder="1" applyAlignment="1">
      <alignment vertical="center"/>
    </xf>
    <xf numFmtId="188" fontId="114" fillId="63" borderId="181" xfId="21" applyNumberFormat="1" applyFont="1" applyFill="1" applyBorder="1" applyAlignment="1">
      <alignment vertical="center"/>
    </xf>
    <xf numFmtId="0" fontId="114" fillId="0" borderId="0" xfId="21" applyFont="1" applyAlignment="1">
      <alignment vertical="center"/>
    </xf>
    <xf numFmtId="0" fontId="37" fillId="0" borderId="0" xfId="21" applyFont="1" applyAlignment="1">
      <alignment horizontal="right"/>
    </xf>
    <xf numFmtId="188" fontId="56" fillId="0" borderId="0" xfId="21" applyNumberFormat="1" applyFont="1"/>
    <xf numFmtId="0" fontId="114" fillId="0" borderId="0" xfId="21" applyFont="1" applyAlignment="1">
      <alignment horizontal="right"/>
    </xf>
    <xf numFmtId="188" fontId="114" fillId="0" borderId="0" xfId="21" applyNumberFormat="1" applyFont="1" applyAlignment="1">
      <alignment vertical="center"/>
    </xf>
    <xf numFmtId="0" fontId="66" fillId="0" borderId="0" xfId="21" applyFont="1" applyAlignment="1">
      <alignment horizontal="right"/>
    </xf>
    <xf numFmtId="9" fontId="66" fillId="0" borderId="0" xfId="21" applyNumberFormat="1" applyFont="1" applyAlignment="1">
      <alignment horizontal="right"/>
    </xf>
    <xf numFmtId="0" fontId="113" fillId="0" borderId="0" xfId="21" applyFont="1" applyAlignment="1">
      <alignment horizontal="right"/>
    </xf>
    <xf numFmtId="0" fontId="37" fillId="0" borderId="0" xfId="21" applyFont="1"/>
    <xf numFmtId="0" fontId="109" fillId="11" borderId="0" xfId="21" applyFont="1" applyFill="1"/>
    <xf numFmtId="181" fontId="43" fillId="0" borderId="0" xfId="21" applyNumberFormat="1" applyFont="1"/>
    <xf numFmtId="10" fontId="2" fillId="0" borderId="0" xfId="21" applyNumberFormat="1"/>
    <xf numFmtId="0" fontId="37" fillId="0" borderId="1" xfId="21" applyFont="1" applyBorder="1"/>
    <xf numFmtId="0" fontId="2" fillId="0" borderId="1" xfId="21" applyBorder="1"/>
    <xf numFmtId="188" fontId="35" fillId="37" borderId="73" xfId="7" applyNumberFormat="1"/>
    <xf numFmtId="178" fontId="35" fillId="37" borderId="73" xfId="7" applyNumberFormat="1"/>
    <xf numFmtId="178" fontId="115" fillId="11" borderId="0" xfId="21" applyNumberFormat="1" applyFont="1" applyFill="1"/>
    <xf numFmtId="0" fontId="35" fillId="37" borderId="73" xfId="7" applyAlignment="1"/>
    <xf numFmtId="168" fontId="35" fillId="37" borderId="73" xfId="7" applyNumberFormat="1" applyAlignment="1"/>
    <xf numFmtId="0" fontId="5" fillId="52" borderId="13" xfId="21" applyFont="1" applyFill="1" applyBorder="1" applyAlignment="1">
      <alignment horizontal="center"/>
    </xf>
    <xf numFmtId="0" fontId="6" fillId="0" borderId="0" xfId="21" applyFont="1"/>
    <xf numFmtId="10" fontId="43" fillId="53" borderId="32" xfId="21" applyNumberFormat="1" applyFont="1" applyFill="1" applyBorder="1" applyAlignment="1">
      <alignment horizontal="center"/>
    </xf>
    <xf numFmtId="0" fontId="59" fillId="61" borderId="0" xfId="21" applyFont="1" applyFill="1"/>
    <xf numFmtId="0" fontId="33" fillId="61" borderId="0" xfId="21" applyFont="1" applyFill="1"/>
    <xf numFmtId="0" fontId="43" fillId="53" borderId="102" xfId="21" applyFont="1" applyFill="1" applyBorder="1" applyAlignment="1">
      <alignment horizontal="center"/>
    </xf>
    <xf numFmtId="0" fontId="6" fillId="0" borderId="17" xfId="21" applyFont="1" applyBorder="1" applyAlignment="1">
      <alignment horizontal="center"/>
    </xf>
    <xf numFmtId="172" fontId="43" fillId="0" borderId="32" xfId="21" applyNumberFormat="1" applyFont="1" applyBorder="1" applyAlignment="1">
      <alignment horizontal="center"/>
    </xf>
    <xf numFmtId="0" fontId="6" fillId="0" borderId="55" xfId="21" applyFont="1" applyBorder="1" applyAlignment="1">
      <alignment horizontal="center"/>
    </xf>
    <xf numFmtId="10" fontId="6" fillId="0" borderId="102" xfId="21" applyNumberFormat="1" applyFont="1" applyBorder="1" applyAlignment="1">
      <alignment horizontal="center"/>
    </xf>
    <xf numFmtId="0" fontId="6" fillId="0" borderId="91" xfId="21" applyFont="1" applyBorder="1" applyAlignment="1">
      <alignment horizontal="center"/>
    </xf>
    <xf numFmtId="0" fontId="6" fillId="0" borderId="93" xfId="21" applyFont="1" applyBorder="1" applyAlignment="1">
      <alignment horizontal="center"/>
    </xf>
    <xf numFmtId="10" fontId="42" fillId="29" borderId="93" xfId="21" applyNumberFormat="1" applyFont="1" applyFill="1" applyBorder="1" applyAlignment="1">
      <alignment horizontal="center"/>
    </xf>
    <xf numFmtId="10" fontId="46" fillId="54" borderId="59" xfId="22" applyNumberFormat="1" applyFont="1" applyFill="1" applyBorder="1" applyAlignment="1">
      <alignment horizontal="right"/>
    </xf>
    <xf numFmtId="0" fontId="46" fillId="54" borderId="59" xfId="21" applyFont="1" applyFill="1" applyBorder="1" applyAlignment="1">
      <alignment horizontal="right"/>
    </xf>
    <xf numFmtId="0" fontId="6" fillId="41" borderId="17" xfId="21" applyFont="1" applyFill="1" applyBorder="1" applyAlignment="1">
      <alignment horizontal="center"/>
    </xf>
    <xf numFmtId="0" fontId="6" fillId="41" borderId="77" xfId="21" applyFont="1" applyFill="1" applyBorder="1" applyAlignment="1">
      <alignment horizontal="center"/>
    </xf>
    <xf numFmtId="0" fontId="6" fillId="41" borderId="32" xfId="21" applyFont="1" applyFill="1" applyBorder="1" applyAlignment="1">
      <alignment horizontal="center"/>
    </xf>
    <xf numFmtId="0" fontId="6" fillId="41" borderId="55" xfId="21" applyFont="1" applyFill="1" applyBorder="1" applyAlignment="1">
      <alignment horizontal="center"/>
    </xf>
    <xf numFmtId="172" fontId="6" fillId="0" borderId="0" xfId="21" applyNumberFormat="1" applyFont="1" applyAlignment="1">
      <alignment horizontal="right"/>
    </xf>
    <xf numFmtId="172" fontId="6" fillId="0" borderId="102" xfId="21" applyNumberFormat="1" applyFont="1" applyBorder="1" applyAlignment="1">
      <alignment horizontal="right"/>
    </xf>
    <xf numFmtId="10" fontId="37" fillId="29" borderId="54" xfId="21" applyNumberFormat="1" applyFont="1" applyFill="1" applyBorder="1" applyAlignment="1">
      <alignment horizontal="center"/>
    </xf>
    <xf numFmtId="0" fontId="60" fillId="62" borderId="0" xfId="21" applyFont="1" applyFill="1"/>
    <xf numFmtId="0" fontId="32" fillId="62" borderId="0" xfId="21" applyFont="1" applyFill="1"/>
    <xf numFmtId="0" fontId="2" fillId="14" borderId="0" xfId="21" applyFill="1"/>
    <xf numFmtId="0" fontId="5" fillId="55" borderId="91" xfId="21" applyFont="1" applyFill="1" applyBorder="1" applyAlignment="1">
      <alignment horizontal="center"/>
    </xf>
    <xf numFmtId="172" fontId="6" fillId="55" borderId="92" xfId="21" applyNumberFormat="1" applyFont="1" applyFill="1" applyBorder="1" applyAlignment="1">
      <alignment horizontal="right"/>
    </xf>
    <xf numFmtId="172" fontId="6" fillId="55" borderId="93" xfId="21" applyNumberFormat="1" applyFont="1" applyFill="1" applyBorder="1" applyAlignment="1">
      <alignment horizontal="right"/>
    </xf>
    <xf numFmtId="0" fontId="61" fillId="0" borderId="0" xfId="21" applyFont="1"/>
    <xf numFmtId="0" fontId="62" fillId="0" borderId="0" xfId="21" applyFont="1"/>
    <xf numFmtId="0" fontId="16" fillId="0" borderId="0" xfId="21" applyFont="1"/>
    <xf numFmtId="9" fontId="46" fillId="63" borderId="0" xfId="21" applyNumberFormat="1" applyFont="1" applyFill="1"/>
    <xf numFmtId="0" fontId="46" fillId="63" borderId="0" xfId="21" applyFont="1" applyFill="1"/>
    <xf numFmtId="0" fontId="46" fillId="0" borderId="0" xfId="21" applyFont="1"/>
    <xf numFmtId="10" fontId="46" fillId="63" borderId="0" xfId="21" applyNumberFormat="1" applyFont="1" applyFill="1"/>
    <xf numFmtId="0" fontId="6" fillId="55" borderId="91" xfId="21" applyFont="1" applyFill="1" applyBorder="1" applyAlignment="1">
      <alignment horizontal="center"/>
    </xf>
    <xf numFmtId="10" fontId="6" fillId="0" borderId="0" xfId="21" applyNumberFormat="1" applyFont="1"/>
    <xf numFmtId="0" fontId="6" fillId="41" borderId="5" xfId="21" applyFont="1" applyFill="1" applyBorder="1" applyAlignment="1">
      <alignment horizontal="center"/>
    </xf>
    <xf numFmtId="0" fontId="6" fillId="41" borderId="11" xfId="21" applyFont="1" applyFill="1" applyBorder="1" applyAlignment="1">
      <alignment horizontal="center"/>
    </xf>
    <xf numFmtId="0" fontId="6" fillId="41" borderId="6" xfId="21" applyFont="1" applyFill="1" applyBorder="1" applyAlignment="1">
      <alignment horizontal="center"/>
    </xf>
    <xf numFmtId="0" fontId="6" fillId="41" borderId="7" xfId="21" applyFont="1" applyFill="1" applyBorder="1" applyAlignment="1">
      <alignment horizontal="center"/>
    </xf>
    <xf numFmtId="172" fontId="6" fillId="0" borderId="1" xfId="21" applyNumberFormat="1" applyFont="1" applyBorder="1" applyAlignment="1">
      <alignment horizontal="right"/>
    </xf>
    <xf numFmtId="172" fontId="6" fillId="0" borderId="8" xfId="21" applyNumberFormat="1" applyFont="1" applyBorder="1" applyAlignment="1">
      <alignment horizontal="right"/>
    </xf>
    <xf numFmtId="0" fontId="6" fillId="41" borderId="9" xfId="21" applyFont="1" applyFill="1" applyBorder="1" applyAlignment="1">
      <alignment horizontal="center"/>
    </xf>
    <xf numFmtId="172" fontId="6" fillId="0" borderId="12" xfId="21" applyNumberFormat="1" applyFont="1" applyBorder="1" applyAlignment="1">
      <alignment horizontal="right"/>
    </xf>
    <xf numFmtId="172" fontId="6" fillId="0" borderId="10" xfId="21" applyNumberFormat="1" applyFont="1" applyBorder="1" applyAlignment="1">
      <alignment horizontal="right"/>
    </xf>
    <xf numFmtId="0" fontId="20" fillId="0" borderId="0" xfId="21" applyFont="1"/>
    <xf numFmtId="0" fontId="55" fillId="35" borderId="0" xfId="12" applyNumberFormat="1"/>
    <xf numFmtId="0" fontId="17" fillId="56" borderId="1" xfId="21" applyFont="1" applyFill="1" applyBorder="1"/>
    <xf numFmtId="0" fontId="17" fillId="0" borderId="0" xfId="21" applyFont="1"/>
    <xf numFmtId="0" fontId="17" fillId="58" borderId="2" xfId="21" applyFont="1" applyFill="1" applyBorder="1" applyAlignment="1">
      <alignment horizontal="center"/>
    </xf>
    <xf numFmtId="0" fontId="17" fillId="58" borderId="1" xfId="21" applyFont="1" applyFill="1" applyBorder="1" applyAlignment="1">
      <alignment horizontal="center"/>
    </xf>
    <xf numFmtId="0" fontId="17" fillId="58" borderId="4" xfId="21" applyFont="1" applyFill="1" applyBorder="1" applyAlignment="1">
      <alignment horizontal="center"/>
    </xf>
    <xf numFmtId="0" fontId="17" fillId="58" borderId="3" xfId="21" applyFont="1" applyFill="1" applyBorder="1" applyAlignment="1">
      <alignment horizontal="center"/>
    </xf>
    <xf numFmtId="0" fontId="56" fillId="0" borderId="0" xfId="21" applyFont="1"/>
    <xf numFmtId="0" fontId="56" fillId="0" borderId="0" xfId="21" applyFont="1" applyAlignment="1">
      <alignment horizontal="left"/>
    </xf>
    <xf numFmtId="0" fontId="16" fillId="0" borderId="0" xfId="21" applyFont="1" applyAlignment="1">
      <alignment horizontal="left"/>
    </xf>
    <xf numFmtId="177" fontId="16" fillId="0" borderId="0" xfId="21" applyNumberFormat="1" applyFont="1"/>
    <xf numFmtId="0" fontId="16" fillId="0" borderId="99" xfId="21" applyFont="1" applyBorder="1" applyAlignment="1">
      <alignment horizontal="left"/>
    </xf>
    <xf numFmtId="0" fontId="16" fillId="0" borderId="99" xfId="21" applyFont="1" applyBorder="1"/>
    <xf numFmtId="177" fontId="16" fillId="0" borderId="99" xfId="21" applyNumberFormat="1" applyFont="1" applyBorder="1"/>
    <xf numFmtId="179" fontId="16" fillId="0" borderId="0" xfId="21" applyNumberFormat="1" applyFont="1"/>
    <xf numFmtId="0" fontId="16" fillId="0" borderId="117" xfId="21" applyFont="1" applyBorder="1"/>
    <xf numFmtId="9" fontId="55" fillId="35" borderId="117" xfId="12" applyNumberFormat="1" applyBorder="1"/>
    <xf numFmtId="179" fontId="16" fillId="0" borderId="117" xfId="21" applyNumberFormat="1" applyFont="1" applyBorder="1"/>
    <xf numFmtId="0" fontId="17" fillId="58" borderId="63" xfId="21" applyFont="1" applyFill="1" applyBorder="1" applyAlignment="1">
      <alignment horizontal="center"/>
    </xf>
    <xf numFmtId="0" fontId="57" fillId="0" borderId="0" xfId="21" applyFont="1"/>
    <xf numFmtId="177" fontId="55" fillId="35" borderId="0" xfId="23" applyFont="1" applyFill="1"/>
    <xf numFmtId="0" fontId="15" fillId="0" borderId="0" xfId="21" applyFont="1"/>
    <xf numFmtId="10" fontId="55" fillId="35" borderId="0" xfId="12" applyNumberFormat="1"/>
    <xf numFmtId="177" fontId="16" fillId="0" borderId="0" xfId="23" applyFont="1"/>
    <xf numFmtId="177" fontId="16" fillId="0" borderId="63" xfId="21" applyNumberFormat="1" applyFont="1" applyBorder="1"/>
    <xf numFmtId="0" fontId="17" fillId="0" borderId="2" xfId="21" applyFont="1" applyBorder="1"/>
    <xf numFmtId="0" fontId="17" fillId="0" borderId="118" xfId="21" applyFont="1" applyBorder="1"/>
    <xf numFmtId="0" fontId="17" fillId="0" borderId="119" xfId="21" applyFont="1" applyBorder="1"/>
    <xf numFmtId="0" fontId="17" fillId="59" borderId="19" xfId="21" applyFont="1" applyFill="1" applyBorder="1"/>
    <xf numFmtId="0" fontId="17" fillId="0" borderId="48" xfId="21" applyFont="1" applyBorder="1"/>
    <xf numFmtId="0" fontId="17" fillId="59" borderId="19" xfId="23" applyNumberFormat="1" applyFont="1" applyFill="1" applyBorder="1"/>
    <xf numFmtId="0" fontId="43" fillId="60" borderId="0" xfId="21" applyFont="1" applyFill="1"/>
    <xf numFmtId="0" fontId="58" fillId="49" borderId="120" xfId="21" applyFont="1" applyFill="1" applyBorder="1" applyAlignment="1">
      <alignment horizontal="center" vertical="center"/>
    </xf>
    <xf numFmtId="0" fontId="58" fillId="49" borderId="108" xfId="21" applyFont="1" applyFill="1" applyBorder="1" applyAlignment="1">
      <alignment horizontal="center" vertical="center"/>
    </xf>
    <xf numFmtId="0" fontId="58" fillId="49" borderId="121" xfId="21" applyFont="1" applyFill="1" applyBorder="1" applyAlignment="1">
      <alignment horizontal="center" vertical="center"/>
    </xf>
    <xf numFmtId="0" fontId="2" fillId="0" borderId="67" xfId="21" applyBorder="1"/>
    <xf numFmtId="0" fontId="2" fillId="0" borderId="63" xfId="21" applyBorder="1"/>
    <xf numFmtId="177" fontId="2" fillId="0" borderId="63" xfId="23" applyFont="1" applyFill="1" applyBorder="1"/>
    <xf numFmtId="9" fontId="2" fillId="0" borderId="63" xfId="22" applyFont="1" applyFill="1" applyBorder="1"/>
    <xf numFmtId="177" fontId="2" fillId="0" borderId="68" xfId="23" applyFont="1" applyFill="1" applyBorder="1" applyAlignment="1">
      <alignment horizontal="center"/>
    </xf>
    <xf numFmtId="9" fontId="2" fillId="0" borderId="63" xfId="21" applyNumberFormat="1" applyBorder="1"/>
    <xf numFmtId="0" fontId="2" fillId="0" borderId="69" xfId="21" applyBorder="1"/>
    <xf numFmtId="0" fontId="2" fillId="0" borderId="70" xfId="21" applyBorder="1"/>
    <xf numFmtId="177" fontId="2" fillId="0" borderId="70" xfId="23" applyFont="1" applyFill="1" applyBorder="1"/>
    <xf numFmtId="177" fontId="2" fillId="0" borderId="71" xfId="23" applyFont="1" applyFill="1" applyBorder="1" applyAlignment="1">
      <alignment horizontal="center"/>
    </xf>
    <xf numFmtId="0" fontId="58" fillId="0" borderId="0" xfId="21" applyFont="1"/>
    <xf numFmtId="0" fontId="58" fillId="50" borderId="43" xfId="21" applyFont="1" applyFill="1" applyBorder="1" applyAlignment="1">
      <alignment horizontal="right"/>
    </xf>
    <xf numFmtId="177" fontId="58" fillId="50" borderId="122" xfId="23" applyFont="1" applyFill="1" applyBorder="1" applyAlignment="1">
      <alignment horizontal="center"/>
    </xf>
    <xf numFmtId="0" fontId="37" fillId="49" borderId="106" xfId="21" applyFont="1" applyFill="1" applyBorder="1" applyAlignment="1">
      <alignment horizontal="center" vertical="center"/>
    </xf>
    <xf numFmtId="0" fontId="37" fillId="49" borderId="107" xfId="21" applyFont="1" applyFill="1" applyBorder="1" applyAlignment="1">
      <alignment horizontal="center" vertical="center"/>
    </xf>
    <xf numFmtId="0" fontId="37" fillId="49" borderId="108" xfId="21" applyFont="1" applyFill="1" applyBorder="1" applyAlignment="1">
      <alignment horizontal="center" vertical="center"/>
    </xf>
    <xf numFmtId="0" fontId="37" fillId="49" borderId="108" xfId="21" applyFont="1" applyFill="1" applyBorder="1" applyAlignment="1">
      <alignment horizontal="center" vertical="center" wrapText="1"/>
    </xf>
    <xf numFmtId="0" fontId="37" fillId="49" borderId="109" xfId="21" applyFont="1" applyFill="1" applyBorder="1" applyAlignment="1">
      <alignment horizontal="center" vertical="center"/>
    </xf>
    <xf numFmtId="0" fontId="2" fillId="0" borderId="110" xfId="21" applyBorder="1"/>
    <xf numFmtId="177" fontId="2" fillId="0" borderId="95" xfId="23" applyFont="1" applyBorder="1"/>
    <xf numFmtId="9" fontId="2" fillId="0" borderId="63" xfId="22" applyFont="1" applyBorder="1"/>
    <xf numFmtId="2" fontId="2" fillId="0" borderId="63" xfId="21" applyNumberFormat="1" applyBorder="1"/>
    <xf numFmtId="177" fontId="2" fillId="0" borderId="63" xfId="21" applyNumberFormat="1" applyBorder="1"/>
    <xf numFmtId="177" fontId="2" fillId="0" borderId="94" xfId="21" applyNumberFormat="1" applyBorder="1"/>
    <xf numFmtId="0" fontId="2" fillId="0" borderId="113" xfId="21" applyBorder="1"/>
    <xf numFmtId="177" fontId="2" fillId="0" borderId="114" xfId="23" applyFont="1" applyBorder="1"/>
    <xf numFmtId="9" fontId="2" fillId="0" borderId="70" xfId="22" applyFont="1" applyBorder="1"/>
    <xf numFmtId="177" fontId="35" fillId="37" borderId="73" xfId="23" applyFont="1" applyFill="1" applyBorder="1" applyAlignment="1"/>
    <xf numFmtId="0" fontId="20" fillId="0" borderId="0" xfId="21" applyFont="1" applyAlignment="1">
      <alignment horizontal="left"/>
    </xf>
    <xf numFmtId="0" fontId="66" fillId="85" borderId="0" xfId="21" applyFont="1" applyFill="1"/>
    <xf numFmtId="0" fontId="66" fillId="85" borderId="0" xfId="21" applyFont="1" applyFill="1" applyAlignment="1">
      <alignment horizontal="left"/>
    </xf>
    <xf numFmtId="174" fontId="14" fillId="41" borderId="5" xfId="21" applyNumberFormat="1" applyFont="1" applyFill="1" applyBorder="1" applyAlignment="1">
      <alignment horizontal="center"/>
    </xf>
    <xf numFmtId="174" fontId="15" fillId="41" borderId="6" xfId="21" applyNumberFormat="1" applyFont="1" applyFill="1" applyBorder="1" applyAlignment="1">
      <alignment horizontal="center"/>
    </xf>
    <xf numFmtId="174" fontId="6" fillId="0" borderId="0" xfId="21" applyNumberFormat="1" applyFont="1"/>
    <xf numFmtId="174" fontId="52" fillId="37" borderId="73" xfId="7" applyNumberFormat="1" applyFont="1" applyAlignment="1">
      <alignment horizontal="center"/>
    </xf>
    <xf numFmtId="174" fontId="52" fillId="37" borderId="73" xfId="7" applyNumberFormat="1" applyFont="1"/>
    <xf numFmtId="0" fontId="116" fillId="11" borderId="0" xfId="21" applyFont="1" applyFill="1"/>
    <xf numFmtId="174" fontId="53" fillId="0" borderId="4" xfId="21" applyNumberFormat="1" applyFont="1" applyBorder="1" applyAlignment="1">
      <alignment horizontal="center"/>
    </xf>
    <xf numFmtId="174" fontId="16" fillId="0" borderId="8" xfId="21" applyNumberFormat="1" applyFont="1" applyBorder="1" applyAlignment="1">
      <alignment horizontal="right"/>
    </xf>
    <xf numFmtId="0" fontId="11" fillId="41" borderId="7" xfId="21" applyFont="1" applyFill="1" applyBorder="1" applyAlignment="1">
      <alignment horizontal="center"/>
    </xf>
    <xf numFmtId="0" fontId="6" fillId="0" borderId="8" xfId="21" applyFont="1" applyBorder="1" applyAlignment="1">
      <alignment horizontal="right"/>
    </xf>
    <xf numFmtId="174" fontId="44" fillId="0" borderId="4" xfId="21" applyNumberFormat="1" applyFont="1" applyBorder="1" applyAlignment="1">
      <alignment horizontal="center"/>
    </xf>
    <xf numFmtId="174" fontId="20" fillId="0" borderId="8" xfId="21" applyNumberFormat="1" applyFont="1" applyBorder="1" applyAlignment="1">
      <alignment horizontal="right"/>
    </xf>
    <xf numFmtId="0" fontId="6" fillId="0" borderId="8" xfId="21" applyFont="1" applyBorder="1"/>
    <xf numFmtId="0" fontId="6" fillId="0" borderId="7" xfId="21" applyFont="1" applyBorder="1" applyAlignment="1">
      <alignment horizontal="right"/>
    </xf>
    <xf numFmtId="10" fontId="6" fillId="0" borderId="8" xfId="21" applyNumberFormat="1" applyFont="1" applyBorder="1" applyAlignment="1">
      <alignment horizontal="right"/>
    </xf>
    <xf numFmtId="0" fontId="21" fillId="41" borderId="5" xfId="21" applyFont="1" applyFill="1" applyBorder="1" applyAlignment="1">
      <alignment horizontal="center"/>
    </xf>
    <xf numFmtId="0" fontId="6" fillId="0" borderId="6" xfId="21" applyFont="1" applyBorder="1" applyAlignment="1">
      <alignment horizontal="center"/>
    </xf>
    <xf numFmtId="174" fontId="52" fillId="37" borderId="73" xfId="7" applyNumberFormat="1" applyFont="1" applyAlignment="1">
      <alignment horizontal="right"/>
    </xf>
    <xf numFmtId="0" fontId="21" fillId="41" borderId="9" xfId="21" applyFont="1" applyFill="1" applyBorder="1" applyAlignment="1">
      <alignment horizontal="center"/>
    </xf>
    <xf numFmtId="0" fontId="6" fillId="0" borderId="10" xfId="21" applyFont="1" applyBorder="1" applyAlignment="1">
      <alignment horizontal="center"/>
    </xf>
    <xf numFmtId="174" fontId="44" fillId="0" borderId="7" xfId="21" applyNumberFormat="1" applyFont="1" applyBorder="1" applyAlignment="1">
      <alignment horizontal="center"/>
    </xf>
    <xf numFmtId="0" fontId="6" fillId="0" borderId="30" xfId="21" applyFont="1" applyBorder="1" applyAlignment="1">
      <alignment horizontal="right"/>
    </xf>
    <xf numFmtId="10" fontId="6" fillId="0" borderId="36" xfId="21" applyNumberFormat="1" applyFont="1" applyBorder="1" applyAlignment="1">
      <alignment horizontal="right"/>
    </xf>
    <xf numFmtId="0" fontId="21" fillId="41" borderId="13" xfId="21" applyFont="1" applyFill="1" applyBorder="1" applyAlignment="1">
      <alignment horizontal="center"/>
    </xf>
    <xf numFmtId="0" fontId="6" fillId="0" borderId="22" xfId="21" applyFont="1" applyBorder="1" applyAlignment="1">
      <alignment horizontal="right"/>
    </xf>
    <xf numFmtId="0" fontId="6" fillId="0" borderId="55" xfId="21" applyFont="1" applyBorder="1"/>
    <xf numFmtId="0" fontId="6" fillId="0" borderId="102" xfId="21" applyFont="1" applyBorder="1"/>
    <xf numFmtId="174" fontId="6" fillId="0" borderId="8" xfId="21" applyNumberFormat="1" applyFont="1" applyBorder="1" applyAlignment="1">
      <alignment horizontal="right"/>
    </xf>
    <xf numFmtId="174" fontId="14" fillId="41" borderId="9" xfId="21" applyNumberFormat="1" applyFont="1" applyFill="1" applyBorder="1"/>
    <xf numFmtId="174" fontId="20" fillId="41" borderId="10" xfId="21" applyNumberFormat="1" applyFont="1" applyFill="1" applyBorder="1" applyAlignment="1">
      <alignment horizontal="right"/>
    </xf>
    <xf numFmtId="0" fontId="11" fillId="41" borderId="9" xfId="21" applyFont="1" applyFill="1" applyBorder="1" applyAlignment="1">
      <alignment horizontal="center"/>
    </xf>
    <xf numFmtId="0" fontId="6" fillId="0" borderId="10" xfId="21" applyFont="1" applyBorder="1" applyAlignment="1">
      <alignment horizontal="right"/>
    </xf>
    <xf numFmtId="0" fontId="46" fillId="14" borderId="0" xfId="21" applyFont="1" applyFill="1"/>
    <xf numFmtId="0" fontId="2" fillId="0" borderId="58" xfId="21" applyBorder="1"/>
    <xf numFmtId="0" fontId="20" fillId="0" borderId="59" xfId="21" applyFont="1" applyBorder="1"/>
    <xf numFmtId="0" fontId="33" fillId="34" borderId="0" xfId="5" applyBorder="1" applyAlignment="1"/>
    <xf numFmtId="0" fontId="33" fillId="34" borderId="0" xfId="5"/>
    <xf numFmtId="0" fontId="33" fillId="34" borderId="0" xfId="5" applyBorder="1"/>
    <xf numFmtId="0" fontId="33" fillId="34" borderId="0" xfId="5" applyBorder="1" applyAlignment="1">
      <alignment horizontal="left"/>
    </xf>
    <xf numFmtId="9" fontId="0" fillId="0" borderId="68" xfId="22" applyFont="1" applyBorder="1"/>
    <xf numFmtId="0" fontId="2" fillId="0" borderId="59" xfId="21" applyBorder="1"/>
    <xf numFmtId="0" fontId="33" fillId="34" borderId="0" xfId="5" applyAlignment="1"/>
    <xf numFmtId="0" fontId="33" fillId="34" borderId="0" xfId="5" applyAlignment="1">
      <alignment horizontal="left"/>
    </xf>
    <xf numFmtId="0" fontId="20" fillId="0" borderId="67" xfId="25" applyBorder="1"/>
    <xf numFmtId="0" fontId="106" fillId="86" borderId="69" xfId="21" applyFont="1" applyFill="1" applyBorder="1" applyAlignment="1">
      <alignment horizontal="right"/>
    </xf>
    <xf numFmtId="9" fontId="106" fillId="86" borderId="71" xfId="21" applyNumberFormat="1" applyFont="1" applyFill="1" applyBorder="1" applyAlignment="1">
      <alignment horizontal="right"/>
    </xf>
    <xf numFmtId="174" fontId="33" fillId="34" borderId="0" xfId="5" applyNumberFormat="1" applyBorder="1"/>
    <xf numFmtId="174" fontId="33" fillId="34" borderId="99" xfId="5" applyNumberFormat="1" applyBorder="1" applyAlignment="1">
      <alignment horizontal="center"/>
    </xf>
    <xf numFmtId="174" fontId="33" fillId="34" borderId="0" xfId="5" applyNumberFormat="1" applyBorder="1" applyAlignment="1">
      <alignment horizontal="center"/>
    </xf>
    <xf numFmtId="174" fontId="33" fillId="34" borderId="0" xfId="5" applyNumberFormat="1" applyBorder="1" applyAlignment="1">
      <alignment horizontal="left"/>
    </xf>
    <xf numFmtId="0" fontId="20" fillId="0" borderId="75" xfId="21" applyFont="1" applyBorder="1"/>
    <xf numFmtId="0" fontId="20" fillId="0" borderId="61" xfId="21" applyFont="1" applyBorder="1"/>
    <xf numFmtId="0" fontId="20" fillId="0" borderId="54" xfId="21" applyFont="1" applyBorder="1"/>
    <xf numFmtId="0" fontId="0" fillId="14" borderId="0" xfId="21" applyFont="1" applyFill="1"/>
    <xf numFmtId="0" fontId="20" fillId="14" borderId="0" xfId="21" applyFont="1" applyFill="1"/>
    <xf numFmtId="10" fontId="6" fillId="72" borderId="0" xfId="15" applyNumberFormat="1" applyFont="1" applyFill="1"/>
    <xf numFmtId="9" fontId="6" fillId="72" borderId="0" xfId="15" applyNumberFormat="1" applyFont="1" applyFill="1"/>
    <xf numFmtId="0" fontId="66" fillId="0" borderId="67" xfId="21" applyFont="1" applyBorder="1" applyAlignment="1">
      <alignment horizontal="right"/>
    </xf>
    <xf numFmtId="177" fontId="0" fillId="0" borderId="68" xfId="23" applyFont="1" applyBorder="1"/>
    <xf numFmtId="10" fontId="0" fillId="0" borderId="68" xfId="22" applyNumberFormat="1" applyFont="1" applyBorder="1"/>
    <xf numFmtId="0" fontId="2" fillId="0" borderId="68" xfId="21" applyBorder="1"/>
    <xf numFmtId="0" fontId="66" fillId="50" borderId="69" xfId="21" applyFont="1" applyFill="1" applyBorder="1" applyAlignment="1">
      <alignment horizontal="right"/>
    </xf>
    <xf numFmtId="177" fontId="2" fillId="50" borderId="71" xfId="21" applyNumberFormat="1" applyFill="1" applyBorder="1"/>
    <xf numFmtId="0" fontId="7" fillId="14" borderId="0" xfId="15" applyFill="1"/>
    <xf numFmtId="44" fontId="32" fillId="33" borderId="0" xfId="2" applyFont="1" applyFill="1"/>
    <xf numFmtId="188" fontId="117" fillId="11" borderId="0" xfId="21" applyNumberFormat="1" applyFont="1" applyFill="1"/>
    <xf numFmtId="188" fontId="118" fillId="0" borderId="0" xfId="21" applyNumberFormat="1" applyFont="1"/>
    <xf numFmtId="188" fontId="119" fillId="11" borderId="0" xfId="21" applyNumberFormat="1" applyFont="1" applyFill="1"/>
    <xf numFmtId="188" fontId="120" fillId="0" borderId="0" xfId="21" applyNumberFormat="1" applyFont="1"/>
    <xf numFmtId="0" fontId="118" fillId="0" borderId="0" xfId="21" applyFont="1"/>
    <xf numFmtId="189" fontId="121" fillId="0" borderId="0" xfId="21" applyNumberFormat="1" applyFont="1"/>
    <xf numFmtId="188" fontId="122" fillId="11" borderId="0" xfId="21" applyNumberFormat="1" applyFont="1" applyFill="1"/>
    <xf numFmtId="188" fontId="118" fillId="84" borderId="0" xfId="21" applyNumberFormat="1" applyFont="1" applyFill="1"/>
    <xf numFmtId="0" fontId="123" fillId="46" borderId="0" xfId="21" applyFont="1" applyFill="1"/>
    <xf numFmtId="44" fontId="124" fillId="21" borderId="0" xfId="2" applyFont="1" applyFill="1"/>
    <xf numFmtId="44" fontId="0" fillId="0" borderId="63" xfId="2" applyFont="1" applyBorder="1"/>
    <xf numFmtId="0" fontId="0" fillId="0" borderId="0" xfId="0" applyAlignment="1">
      <alignment horizontal="left"/>
    </xf>
    <xf numFmtId="0" fontId="126" fillId="0" borderId="0" xfId="0" applyFont="1" applyAlignment="1">
      <alignment horizontal="left"/>
    </xf>
    <xf numFmtId="0" fontId="125" fillId="0" borderId="0" xfId="0" applyFont="1" applyAlignment="1">
      <alignment horizontal="center"/>
    </xf>
    <xf numFmtId="0" fontId="127" fillId="0" borderId="0" xfId="0" applyFont="1" applyAlignment="1">
      <alignment horizontal="right"/>
    </xf>
    <xf numFmtId="44" fontId="0" fillId="0" borderId="0" xfId="2" applyFont="1" applyAlignment="1">
      <alignment horizontal="center" vertical="center"/>
    </xf>
    <xf numFmtId="44" fontId="0" fillId="14" borderId="0" xfId="0" applyNumberFormat="1" applyFill="1"/>
    <xf numFmtId="44" fontId="43" fillId="0" borderId="0" xfId="2" applyFont="1"/>
    <xf numFmtId="164" fontId="83" fillId="0" borderId="1" xfId="0" applyNumberFormat="1" applyFont="1" applyBorder="1"/>
    <xf numFmtId="0" fontId="83" fillId="0" borderId="0" xfId="0" applyFont="1"/>
    <xf numFmtId="43" fontId="20" fillId="78" borderId="170" xfId="3" applyFont="1" applyFill="1" applyBorder="1" applyAlignment="1">
      <alignment horizontal="right" wrapText="1"/>
    </xf>
    <xf numFmtId="43" fontId="20" fillId="21" borderId="170" xfId="3" applyFont="1" applyFill="1" applyBorder="1" applyAlignment="1">
      <alignment horizontal="right" wrapText="1"/>
    </xf>
    <xf numFmtId="0" fontId="7" fillId="0" borderId="56" xfId="15" applyBorder="1"/>
    <xf numFmtId="0" fontId="7" fillId="0" borderId="58" xfId="15" applyBorder="1"/>
    <xf numFmtId="0" fontId="1" fillId="0" borderId="63" xfId="0" applyFont="1" applyBorder="1"/>
    <xf numFmtId="0" fontId="1" fillId="0" borderId="108" xfId="0" applyFont="1" applyBorder="1"/>
    <xf numFmtId="2" fontId="1" fillId="0" borderId="63" xfId="0" applyNumberFormat="1" applyFont="1" applyBorder="1"/>
    <xf numFmtId="0" fontId="1" fillId="21" borderId="63" xfId="0" applyFont="1" applyFill="1" applyBorder="1"/>
    <xf numFmtId="0" fontId="1" fillId="0" borderId="85" xfId="0" applyFont="1" applyBorder="1"/>
    <xf numFmtId="177" fontId="1" fillId="0" borderId="85" xfId="0" applyNumberFormat="1" applyFont="1" applyBorder="1"/>
    <xf numFmtId="177" fontId="1" fillId="0" borderId="63" xfId="13" applyFont="1" applyBorder="1"/>
    <xf numFmtId="43" fontId="22" fillId="21" borderId="0" xfId="15" applyNumberFormat="1" applyFont="1" applyFill="1" applyAlignment="1">
      <alignment horizontal="center"/>
    </xf>
    <xf numFmtId="0" fontId="7" fillId="0" borderId="75" xfId="15" applyBorder="1"/>
    <xf numFmtId="0" fontId="0" fillId="0" borderId="54" xfId="0" applyBorder="1"/>
    <xf numFmtId="188" fontId="55" fillId="0" borderId="63" xfId="12" applyNumberFormat="1" applyFill="1" applyBorder="1"/>
    <xf numFmtId="180" fontId="43" fillId="46" borderId="0" xfId="20" applyNumberFormat="1" applyFont="1" applyFill="1"/>
    <xf numFmtId="0" fontId="0" fillId="14" borderId="0" xfId="0" applyFill="1" applyAlignment="1">
      <alignment horizontal="right"/>
    </xf>
    <xf numFmtId="0" fontId="4" fillId="0" borderId="0" xfId="0" applyFont="1" applyAlignment="1">
      <alignment horizontal="center" vertical="center" wrapText="1"/>
    </xf>
    <xf numFmtId="0" fontId="4" fillId="54" borderId="0" xfId="0" applyFont="1" applyFill="1"/>
    <xf numFmtId="9" fontId="4" fillId="54" borderId="0" xfId="0" applyNumberFormat="1" applyFont="1" applyFill="1"/>
    <xf numFmtId="43" fontId="4" fillId="42" borderId="0" xfId="3" applyFont="1" applyFill="1" applyBorder="1"/>
    <xf numFmtId="177" fontId="4" fillId="21" borderId="0" xfId="0" applyNumberFormat="1" applyFont="1" applyFill="1"/>
    <xf numFmtId="43" fontId="4" fillId="21" borderId="0" xfId="3" applyFont="1" applyFill="1" applyBorder="1"/>
    <xf numFmtId="43" fontId="4" fillId="42" borderId="63" xfId="3" applyFont="1" applyFill="1" applyBorder="1"/>
    <xf numFmtId="0" fontId="22" fillId="14" borderId="0" xfId="0" applyFont="1" applyFill="1"/>
    <xf numFmtId="0" fontId="51" fillId="14" borderId="0" xfId="0" applyFont="1" applyFill="1"/>
    <xf numFmtId="10" fontId="6" fillId="0" borderId="41" xfId="0" applyNumberFormat="1" applyFont="1" applyBorder="1"/>
    <xf numFmtId="0" fontId="6" fillId="3" borderId="7" xfId="0" applyFont="1" applyFill="1" applyBorder="1"/>
    <xf numFmtId="10" fontId="6" fillId="0" borderId="8" xfId="0" applyNumberFormat="1" applyFont="1" applyBorder="1"/>
    <xf numFmtId="3" fontId="6" fillId="0" borderId="8" xfId="0" applyNumberFormat="1" applyFont="1" applyBorder="1" applyAlignment="1">
      <alignment horizontal="center"/>
    </xf>
    <xf numFmtId="0" fontId="5" fillId="9" borderId="9" xfId="0" applyFont="1" applyFill="1" applyBorder="1" applyAlignment="1">
      <alignment horizontal="right"/>
    </xf>
    <xf numFmtId="10" fontId="6" fillId="89" borderId="10" xfId="0" applyNumberFormat="1" applyFont="1" applyFill="1" applyBorder="1" applyAlignment="1">
      <alignment horizontal="center"/>
    </xf>
    <xf numFmtId="0" fontId="6" fillId="0" borderId="0" xfId="0" applyFont="1" applyAlignment="1">
      <alignment horizontal="center"/>
    </xf>
    <xf numFmtId="0" fontId="0" fillId="0" borderId="0" xfId="0"/>
    <xf numFmtId="0" fontId="5" fillId="6" borderId="3" xfId="0" applyFont="1" applyFill="1" applyBorder="1" applyAlignment="1">
      <alignment horizontal="center"/>
    </xf>
    <xf numFmtId="0" fontId="10" fillId="0" borderId="3" xfId="0" applyFont="1" applyBorder="1"/>
    <xf numFmtId="0" fontId="10" fillId="0" borderId="4" xfId="0" applyFont="1" applyBorder="1"/>
    <xf numFmtId="0" fontId="5" fillId="6" borderId="2" xfId="0" applyFont="1" applyFill="1" applyBorder="1" applyAlignment="1">
      <alignment horizontal="center"/>
    </xf>
    <xf numFmtId="0" fontId="5" fillId="6" borderId="14" xfId="0" applyFont="1" applyFill="1" applyBorder="1" applyAlignment="1">
      <alignment horizontal="center"/>
    </xf>
    <xf numFmtId="0" fontId="10" fillId="0" borderId="15" xfId="0" applyFont="1" applyBorder="1"/>
    <xf numFmtId="0" fontId="10" fillId="0" borderId="16" xfId="0" applyFont="1" applyBorder="1"/>
    <xf numFmtId="0" fontId="14" fillId="9" borderId="14" xfId="0" applyFont="1" applyFill="1" applyBorder="1"/>
    <xf numFmtId="0" fontId="5" fillId="6" borderId="20" xfId="0" applyFont="1" applyFill="1" applyBorder="1" applyAlignment="1">
      <alignment horizontal="center"/>
    </xf>
    <xf numFmtId="0" fontId="10" fillId="0" borderId="21" xfId="0" applyFont="1" applyBorder="1"/>
    <xf numFmtId="0" fontId="10" fillId="0" borderId="22" xfId="0" applyFont="1" applyBorder="1"/>
    <xf numFmtId="0" fontId="9" fillId="5" borderId="2" xfId="0" applyFont="1" applyFill="1" applyBorder="1" applyAlignment="1">
      <alignment horizontal="center"/>
    </xf>
    <xf numFmtId="0" fontId="6" fillId="0" borderId="0" xfId="0" applyFont="1"/>
    <xf numFmtId="0" fontId="23" fillId="17" borderId="52" xfId="0" applyFont="1" applyFill="1" applyBorder="1" applyAlignment="1">
      <alignment horizontal="center" wrapText="1"/>
    </xf>
    <xf numFmtId="0" fontId="23" fillId="17" borderId="52" xfId="0" applyFont="1" applyFill="1" applyBorder="1" applyAlignment="1">
      <alignment horizontal="center"/>
    </xf>
    <xf numFmtId="0" fontId="24" fillId="0" borderId="55" xfId="0" applyFont="1" applyBorder="1" applyAlignment="1">
      <alignment horizontal="left" vertical="top" wrapText="1"/>
    </xf>
    <xf numFmtId="0" fontId="24" fillId="0" borderId="0" xfId="0" applyFont="1" applyAlignment="1">
      <alignment horizontal="left" vertical="top" wrapText="1"/>
    </xf>
    <xf numFmtId="0" fontId="5" fillId="6" borderId="21" xfId="0" applyFont="1" applyFill="1" applyBorder="1" applyAlignment="1">
      <alignment horizontal="center"/>
    </xf>
    <xf numFmtId="0" fontId="9" fillId="5" borderId="14" xfId="0" applyFont="1" applyFill="1" applyBorder="1" applyAlignment="1">
      <alignment horizontal="center"/>
    </xf>
    <xf numFmtId="0" fontId="5" fillId="12" borderId="17" xfId="0" applyFont="1" applyFill="1" applyBorder="1" applyAlignment="1">
      <alignment horizontal="center"/>
    </xf>
    <xf numFmtId="0" fontId="10" fillId="0" borderId="32" xfId="0" applyFont="1" applyBorder="1"/>
    <xf numFmtId="0" fontId="5" fillId="12" borderId="14" xfId="0" applyFont="1" applyFill="1" applyBorder="1" applyAlignment="1">
      <alignment horizontal="center"/>
    </xf>
    <xf numFmtId="0" fontId="5" fillId="0" borderId="14" xfId="0" applyFont="1" applyBorder="1" applyAlignment="1">
      <alignment horizontal="center"/>
    </xf>
    <xf numFmtId="0" fontId="22" fillId="0" borderId="0" xfId="0" applyFont="1" applyAlignment="1">
      <alignment horizontal="center"/>
    </xf>
    <xf numFmtId="0" fontId="23" fillId="14" borderId="0" xfId="0" applyFont="1" applyFill="1" applyAlignment="1">
      <alignment horizontal="center" wrapText="1"/>
    </xf>
    <xf numFmtId="0" fontId="0" fillId="14" borderId="0" xfId="0" applyFill="1" applyAlignment="1">
      <alignment horizontal="center" wrapText="1"/>
    </xf>
    <xf numFmtId="0" fontId="0" fillId="14" borderId="0" xfId="0" applyFill="1" applyAlignment="1">
      <alignment horizontal="center" vertical="center"/>
    </xf>
    <xf numFmtId="0" fontId="0" fillId="14" borderId="0" xfId="0" applyFill="1" applyAlignment="1">
      <alignment horizontal="center" vertical="center" wrapText="1"/>
    </xf>
    <xf numFmtId="0" fontId="0" fillId="14" borderId="62" xfId="0" applyFill="1" applyBorder="1" applyAlignment="1">
      <alignment horizontal="center" vertical="center" wrapText="1"/>
    </xf>
    <xf numFmtId="0" fontId="0" fillId="14" borderId="62" xfId="0" applyFill="1" applyBorder="1" applyAlignment="1">
      <alignment horizontal="center" vertical="center"/>
    </xf>
    <xf numFmtId="0" fontId="23" fillId="14" borderId="0" xfId="0" applyFont="1" applyFill="1" applyAlignment="1">
      <alignment horizontal="center" vertical="center" wrapText="1"/>
    </xf>
    <xf numFmtId="0" fontId="22" fillId="14" borderId="0" xfId="0" applyFont="1" applyFill="1" applyAlignment="1">
      <alignment horizontal="center" vertical="center"/>
    </xf>
    <xf numFmtId="0" fontId="22" fillId="14" borderId="101" xfId="0" applyFont="1" applyFill="1" applyBorder="1" applyAlignment="1">
      <alignment horizontal="center" vertical="center"/>
    </xf>
    <xf numFmtId="0" fontId="7" fillId="44" borderId="56" xfId="0" applyFont="1" applyFill="1" applyBorder="1" applyAlignment="1">
      <alignment horizontal="left" wrapText="1"/>
    </xf>
    <xf numFmtId="0" fontId="7" fillId="44" borderId="50" xfId="0" applyFont="1" applyFill="1" applyBorder="1" applyAlignment="1">
      <alignment horizontal="left" wrapText="1"/>
    </xf>
    <xf numFmtId="0" fontId="7" fillId="44" borderId="58" xfId="0" applyFont="1" applyFill="1" applyBorder="1" applyAlignment="1">
      <alignment horizontal="left" wrapText="1"/>
    </xf>
    <xf numFmtId="0" fontId="7" fillId="44" borderId="59" xfId="0" applyFont="1" applyFill="1" applyBorder="1" applyAlignment="1">
      <alignment horizontal="left" wrapText="1"/>
    </xf>
    <xf numFmtId="0" fontId="7" fillId="44" borderId="75" xfId="0" applyFont="1" applyFill="1" applyBorder="1" applyAlignment="1">
      <alignment horizontal="left" wrapText="1"/>
    </xf>
    <xf numFmtId="0" fontId="7" fillId="44" borderId="54" xfId="0" applyFont="1" applyFill="1" applyBorder="1" applyAlignment="1">
      <alignment horizontal="left" wrapText="1"/>
    </xf>
    <xf numFmtId="0" fontId="51" fillId="21" borderId="0" xfId="11" applyFont="1" applyFill="1" applyAlignment="1">
      <alignment horizontal="center"/>
    </xf>
    <xf numFmtId="0" fontId="49" fillId="21" borderId="62" xfId="0" applyFont="1" applyFill="1" applyBorder="1" applyAlignment="1">
      <alignment horizontal="center"/>
    </xf>
    <xf numFmtId="0" fontId="49" fillId="21" borderId="0" xfId="0" applyFont="1" applyFill="1" applyAlignment="1">
      <alignment horizontal="center"/>
    </xf>
    <xf numFmtId="0" fontId="51" fillId="21" borderId="0" xfId="11" applyFont="1" applyFill="1" applyAlignment="1">
      <alignment horizontal="center" wrapText="1"/>
    </xf>
    <xf numFmtId="0" fontId="0" fillId="0" borderId="0" xfId="0" applyAlignment="1">
      <alignment horizontal="center" wrapText="1"/>
    </xf>
    <xf numFmtId="0" fontId="7" fillId="14" borderId="56" xfId="0" applyFont="1" applyFill="1" applyBorder="1" applyAlignment="1">
      <alignment horizontal="center" vertical="center" wrapText="1"/>
    </xf>
    <xf numFmtId="0" fontId="7" fillId="14" borderId="57" xfId="0" applyFont="1" applyFill="1" applyBorder="1" applyAlignment="1">
      <alignment horizontal="center" vertical="center" wrapText="1"/>
    </xf>
    <xf numFmtId="0" fontId="7" fillId="14" borderId="50" xfId="0" applyFont="1" applyFill="1" applyBorder="1" applyAlignment="1">
      <alignment horizontal="center" vertical="center" wrapText="1"/>
    </xf>
    <xf numFmtId="0" fontId="7" fillId="14" borderId="58" xfId="0" applyFont="1" applyFill="1" applyBorder="1" applyAlignment="1">
      <alignment horizontal="center" vertical="center" wrapText="1"/>
    </xf>
    <xf numFmtId="0" fontId="7" fillId="14" borderId="0" xfId="0" applyFont="1" applyFill="1" applyAlignment="1">
      <alignment horizontal="center" vertical="center" wrapText="1"/>
    </xf>
    <xf numFmtId="0" fontId="7" fillId="14" borderId="59" xfId="0" applyFont="1" applyFill="1" applyBorder="1" applyAlignment="1">
      <alignment horizontal="center" vertical="center" wrapText="1"/>
    </xf>
    <xf numFmtId="0" fontId="7" fillId="14" borderId="75" xfId="0" applyFont="1" applyFill="1" applyBorder="1" applyAlignment="1">
      <alignment horizontal="center" vertical="center" wrapText="1"/>
    </xf>
    <xf numFmtId="0" fontId="7" fillId="14" borderId="61" xfId="0" applyFont="1" applyFill="1" applyBorder="1" applyAlignment="1">
      <alignment horizontal="center" vertical="center" wrapText="1"/>
    </xf>
    <xf numFmtId="0" fontId="7" fillId="14" borderId="54" xfId="0" applyFont="1" applyFill="1" applyBorder="1" applyAlignment="1">
      <alignment horizontal="center" vertical="center" wrapText="1"/>
    </xf>
    <xf numFmtId="0" fontId="0" fillId="0" borderId="0" xfId="0" applyAlignment="1">
      <alignment horizontal="left" wrapText="1"/>
    </xf>
    <xf numFmtId="0" fontId="6" fillId="0" borderId="63" xfId="0" applyFont="1" applyBorder="1" applyAlignment="1">
      <alignment horizontal="center" vertical="center" wrapText="1"/>
    </xf>
    <xf numFmtId="0" fontId="6" fillId="0" borderId="63" xfId="0" applyFont="1" applyBorder="1" applyAlignment="1">
      <alignment horizontal="center" vertical="center"/>
    </xf>
    <xf numFmtId="173" fontId="5" fillId="0" borderId="20" xfId="0" applyNumberFormat="1" applyFont="1" applyBorder="1" applyAlignment="1">
      <alignment horizontal="center"/>
    </xf>
    <xf numFmtId="0" fontId="39" fillId="0" borderId="21" xfId="0" applyFont="1" applyBorder="1"/>
    <xf numFmtId="0" fontId="39" fillId="0" borderId="22" xfId="0" applyFont="1" applyBorder="1"/>
    <xf numFmtId="173" fontId="6" fillId="0" borderId="0" xfId="0" applyNumberFormat="1" applyFont="1"/>
    <xf numFmtId="173" fontId="5" fillId="0" borderId="17" xfId="0" applyNumberFormat="1" applyFont="1" applyBorder="1" applyAlignment="1">
      <alignment horizontal="center"/>
    </xf>
    <xf numFmtId="0" fontId="10" fillId="0" borderId="77" xfId="0" applyFont="1" applyBorder="1"/>
    <xf numFmtId="173" fontId="5" fillId="0" borderId="56" xfId="0" applyNumberFormat="1" applyFont="1" applyBorder="1" applyAlignment="1">
      <alignment vertical="center"/>
    </xf>
    <xf numFmtId="0" fontId="39" fillId="0" borderId="82" xfId="0" applyFont="1" applyBorder="1"/>
    <xf numFmtId="0" fontId="39" fillId="0" borderId="60" xfId="0" applyFont="1" applyBorder="1"/>
    <xf numFmtId="0" fontId="39" fillId="0" borderId="58" xfId="0" applyFont="1" applyBorder="1"/>
    <xf numFmtId="173" fontId="5" fillId="0" borderId="43" xfId="0" applyNumberFormat="1" applyFont="1" applyBorder="1" applyAlignment="1">
      <alignment horizontal="center"/>
    </xf>
    <xf numFmtId="0" fontId="37" fillId="0" borderId="89" xfId="0" applyFont="1" applyBorder="1"/>
    <xf numFmtId="0" fontId="39" fillId="0" borderId="44" xfId="0" applyFont="1" applyBorder="1"/>
    <xf numFmtId="0" fontId="5" fillId="6" borderId="63" xfId="0" applyFont="1" applyFill="1" applyBorder="1" applyAlignment="1">
      <alignment horizontal="center"/>
    </xf>
    <xf numFmtId="0" fontId="10" fillId="0" borderId="63" xfId="0" applyFont="1" applyBorder="1"/>
    <xf numFmtId="0" fontId="0" fillId="0" borderId="0" xfId="0" applyAlignment="1">
      <alignment horizontal="center" vertical="center" wrapText="1"/>
    </xf>
    <xf numFmtId="0" fontId="0" fillId="0" borderId="0" xfId="0" applyAlignment="1">
      <alignment horizontal="center" vertical="center"/>
    </xf>
    <xf numFmtId="0" fontId="0" fillId="44" borderId="99" xfId="0" applyFill="1" applyBorder="1" applyAlignment="1">
      <alignment horizontal="center"/>
    </xf>
    <xf numFmtId="173" fontId="5" fillId="0" borderId="91" xfId="0" applyNumberFormat="1" applyFont="1" applyBorder="1" applyAlignment="1">
      <alignment horizontal="center"/>
    </xf>
    <xf numFmtId="0" fontId="39" fillId="0" borderId="92" xfId="0" applyFont="1" applyBorder="1"/>
    <xf numFmtId="0" fontId="43" fillId="53" borderId="55" xfId="11" applyFont="1" applyFill="1" applyBorder="1" applyAlignment="1">
      <alignment horizontal="center"/>
    </xf>
    <xf numFmtId="0" fontId="54" fillId="0" borderId="0" xfId="11" applyFont="1"/>
    <xf numFmtId="0" fontId="42" fillId="29" borderId="91" xfId="11" applyFont="1" applyFill="1" applyBorder="1" applyAlignment="1">
      <alignment horizontal="center"/>
    </xf>
    <xf numFmtId="0" fontId="54" fillId="0" borderId="92" xfId="11" applyFont="1" applyBorder="1"/>
    <xf numFmtId="0" fontId="4" fillId="54" borderId="58" xfId="0" applyFont="1" applyFill="1" applyBorder="1" applyAlignment="1">
      <alignment horizontal="center"/>
    </xf>
    <xf numFmtId="0" fontId="4" fillId="54" borderId="0" xfId="0" applyFont="1" applyFill="1" applyAlignment="1">
      <alignment horizontal="center"/>
    </xf>
    <xf numFmtId="0" fontId="37" fillId="29" borderId="75" xfId="11" applyFont="1" applyFill="1" applyBorder="1" applyAlignment="1">
      <alignment horizontal="center"/>
    </xf>
    <xf numFmtId="0" fontId="38" fillId="0" borderId="61" xfId="11" applyFont="1" applyBorder="1"/>
    <xf numFmtId="0" fontId="43" fillId="53" borderId="17" xfId="11" applyFont="1" applyFill="1" applyBorder="1" applyAlignment="1">
      <alignment horizontal="center"/>
    </xf>
    <xf numFmtId="0" fontId="54" fillId="0" borderId="77" xfId="11" applyFont="1" applyBorder="1"/>
    <xf numFmtId="0" fontId="4" fillId="51" borderId="0" xfId="11" applyFill="1" applyAlignment="1">
      <alignment horizontal="center"/>
    </xf>
    <xf numFmtId="0" fontId="43" fillId="53" borderId="77" xfId="11" applyFont="1" applyFill="1" applyBorder="1" applyAlignment="1">
      <alignment horizontal="center"/>
    </xf>
    <xf numFmtId="0" fontId="4" fillId="53" borderId="43" xfId="11" applyFill="1" applyBorder="1" applyAlignment="1">
      <alignment horizontal="center"/>
    </xf>
    <xf numFmtId="0" fontId="4" fillId="53" borderId="89" xfId="11" applyFill="1" applyBorder="1" applyAlignment="1">
      <alignment horizontal="center"/>
    </xf>
    <xf numFmtId="0" fontId="4" fillId="53" borderId="44" xfId="11" applyFill="1" applyBorder="1" applyAlignment="1">
      <alignment horizontal="center"/>
    </xf>
    <xf numFmtId="0" fontId="4" fillId="15" borderId="43" xfId="0" applyFont="1" applyFill="1" applyBorder="1" applyAlignment="1">
      <alignment horizontal="center"/>
    </xf>
    <xf numFmtId="0" fontId="4" fillId="15" borderId="89" xfId="0" applyFont="1" applyFill="1" applyBorder="1" applyAlignment="1">
      <alignment horizontal="center"/>
    </xf>
    <xf numFmtId="0" fontId="4" fillId="15" borderId="44" xfId="0" applyFont="1" applyFill="1" applyBorder="1" applyAlignment="1">
      <alignment horizontal="center"/>
    </xf>
    <xf numFmtId="44" fontId="4" fillId="50" borderId="111" xfId="2" applyFont="1" applyFill="1" applyBorder="1" applyAlignment="1">
      <alignment horizontal="center" vertical="center"/>
    </xf>
    <xf numFmtId="44" fontId="4" fillId="50" borderId="112" xfId="2" applyFont="1" applyFill="1" applyBorder="1" applyAlignment="1">
      <alignment horizontal="center" vertical="center"/>
    </xf>
    <xf numFmtId="44" fontId="4" fillId="50" borderId="115" xfId="2" applyFont="1" applyFill="1" applyBorder="1" applyAlignment="1">
      <alignment horizontal="center" vertical="center"/>
    </xf>
    <xf numFmtId="173" fontId="5" fillId="0" borderId="0" xfId="0" applyNumberFormat="1" applyFont="1" applyAlignment="1">
      <alignment horizontal="center"/>
    </xf>
    <xf numFmtId="0" fontId="37" fillId="0" borderId="0" xfId="0" applyFont="1"/>
    <xf numFmtId="0" fontId="39" fillId="0" borderId="0" xfId="0" applyFont="1"/>
    <xf numFmtId="0" fontId="7" fillId="0" borderId="0" xfId="0" applyFont="1" applyAlignment="1">
      <alignment horizontal="left" wrapText="1"/>
    </xf>
    <xf numFmtId="173" fontId="5" fillId="0" borderId="0" xfId="0" applyNumberFormat="1" applyFont="1" applyAlignment="1">
      <alignment vertical="center"/>
    </xf>
    <xf numFmtId="0" fontId="10" fillId="0" borderId="0" xfId="0" applyFont="1"/>
    <xf numFmtId="0" fontId="6" fillId="48" borderId="63" xfId="0" applyFont="1" applyFill="1" applyBorder="1" applyAlignment="1">
      <alignment horizontal="center" vertical="center" wrapText="1"/>
    </xf>
    <xf numFmtId="0" fontId="6" fillId="48" borderId="63" xfId="0" applyFont="1" applyFill="1" applyBorder="1" applyAlignment="1">
      <alignment horizontal="center" vertical="center"/>
    </xf>
    <xf numFmtId="0" fontId="34" fillId="36" borderId="73" xfId="6" applyAlignment="1">
      <alignment horizontal="center" vertical="center" wrapText="1"/>
    </xf>
    <xf numFmtId="177" fontId="4" fillId="40" borderId="0" xfId="10" applyNumberFormat="1" applyAlignment="1">
      <alignment horizontal="center" vertical="center"/>
    </xf>
    <xf numFmtId="0" fontId="34" fillId="36" borderId="116" xfId="6" applyBorder="1" applyAlignment="1">
      <alignment horizontal="center"/>
    </xf>
    <xf numFmtId="0" fontId="34" fillId="36" borderId="57" xfId="6" applyBorder="1" applyAlignment="1">
      <alignment horizontal="center"/>
    </xf>
    <xf numFmtId="0" fontId="22" fillId="21" borderId="58" xfId="15" applyFont="1" applyFill="1" applyBorder="1" applyAlignment="1">
      <alignment horizontal="center"/>
    </xf>
    <xf numFmtId="0" fontId="22" fillId="21" borderId="0" xfId="15" applyFont="1" applyFill="1" applyAlignment="1">
      <alignment horizontal="center"/>
    </xf>
    <xf numFmtId="0" fontId="128" fillId="21" borderId="58" xfId="0" applyFont="1" applyFill="1" applyBorder="1" applyAlignment="1">
      <alignment horizontal="center" vertical="center"/>
    </xf>
    <xf numFmtId="0" fontId="128" fillId="21" borderId="0" xfId="0" applyFont="1" applyFill="1" applyAlignment="1">
      <alignment horizontal="center" vertical="center"/>
    </xf>
    <xf numFmtId="0" fontId="128" fillId="21" borderId="59" xfId="0" applyFont="1" applyFill="1" applyBorder="1" applyAlignment="1">
      <alignment horizontal="center" vertical="center"/>
    </xf>
    <xf numFmtId="0" fontId="37" fillId="32" borderId="0" xfId="11" applyFont="1" applyFill="1" applyAlignment="1">
      <alignment horizontal="center" vertical="center"/>
    </xf>
    <xf numFmtId="0" fontId="16" fillId="57" borderId="63" xfId="11" applyFont="1" applyFill="1" applyBorder="1" applyAlignment="1">
      <alignment horizontal="center"/>
    </xf>
    <xf numFmtId="0" fontId="4" fillId="32" borderId="0" xfId="11" applyFill="1" applyAlignment="1">
      <alignment horizontal="center"/>
    </xf>
    <xf numFmtId="0" fontId="58" fillId="42" borderId="43" xfId="11" applyFont="1" applyFill="1" applyBorder="1" applyAlignment="1">
      <alignment horizontal="center" vertical="center"/>
    </xf>
    <xf numFmtId="0" fontId="58" fillId="42" borderId="89" xfId="11" applyFont="1" applyFill="1" applyBorder="1" applyAlignment="1">
      <alignment horizontal="center" vertical="center"/>
    </xf>
    <xf numFmtId="0" fontId="58" fillId="42" borderId="44" xfId="11" applyFont="1" applyFill="1" applyBorder="1" applyAlignment="1">
      <alignment horizontal="center" vertical="center"/>
    </xf>
    <xf numFmtId="0" fontId="4" fillId="15" borderId="43" xfId="11" applyFill="1" applyBorder="1" applyAlignment="1">
      <alignment horizontal="center"/>
    </xf>
    <xf numFmtId="0" fontId="4" fillId="15" borderId="89" xfId="11" applyFill="1" applyBorder="1" applyAlignment="1">
      <alignment horizontal="center"/>
    </xf>
    <xf numFmtId="0" fontId="4" fillId="15" borderId="44" xfId="11" applyFill="1" applyBorder="1" applyAlignment="1">
      <alignment horizontal="center"/>
    </xf>
    <xf numFmtId="177" fontId="4" fillId="50" borderId="111" xfId="13" applyFont="1" applyFill="1" applyBorder="1" applyAlignment="1">
      <alignment horizontal="center" vertical="center"/>
    </xf>
    <xf numFmtId="177" fontId="4" fillId="50" borderId="112" xfId="13" applyFont="1" applyFill="1" applyBorder="1" applyAlignment="1">
      <alignment horizontal="center" vertical="center"/>
    </xf>
    <xf numFmtId="177" fontId="4" fillId="50" borderId="115" xfId="13" applyFont="1" applyFill="1" applyBorder="1" applyAlignment="1">
      <alignment horizontal="center" vertical="center"/>
    </xf>
    <xf numFmtId="0" fontId="3" fillId="0" borderId="56" xfId="11" applyFont="1" applyBorder="1" applyAlignment="1">
      <alignment horizontal="center"/>
    </xf>
    <xf numFmtId="0" fontId="3" fillId="0" borderId="57" xfId="11" applyFont="1" applyBorder="1" applyAlignment="1">
      <alignment horizontal="center"/>
    </xf>
    <xf numFmtId="0" fontId="3" fillId="0" borderId="50" xfId="11" applyFont="1" applyBorder="1" applyAlignment="1">
      <alignment horizontal="center"/>
    </xf>
    <xf numFmtId="0" fontId="102" fillId="51" borderId="0" xfId="11" applyFont="1" applyFill="1" applyAlignment="1">
      <alignment horizontal="center"/>
    </xf>
    <xf numFmtId="0" fontId="4" fillId="54" borderId="58" xfId="11" applyFill="1" applyBorder="1" applyAlignment="1">
      <alignment horizontal="center"/>
    </xf>
    <xf numFmtId="0" fontId="4" fillId="54" borderId="0" xfId="11" applyFill="1" applyAlignment="1">
      <alignment horizontal="center"/>
    </xf>
    <xf numFmtId="0" fontId="7" fillId="0" borderId="0" xfId="0" applyFont="1" applyAlignment="1">
      <alignment horizontal="center" vertical="center" wrapText="1"/>
    </xf>
    <xf numFmtId="0" fontId="7" fillId="0" borderId="0" xfId="0" applyFont="1" applyAlignment="1">
      <alignment horizontal="center" vertical="center"/>
    </xf>
    <xf numFmtId="0" fontId="0" fillId="0" borderId="62" xfId="0" applyBorder="1" applyAlignment="1">
      <alignment horizontal="center"/>
    </xf>
    <xf numFmtId="0" fontId="0" fillId="0" borderId="0" xfId="0" applyAlignment="1">
      <alignment horizontal="center"/>
    </xf>
    <xf numFmtId="0" fontId="63" fillId="64" borderId="124" xfId="0" applyFont="1" applyFill="1" applyBorder="1" applyAlignment="1">
      <alignment horizontal="center"/>
    </xf>
    <xf numFmtId="0" fontId="64" fillId="0" borderId="125" xfId="0" applyFont="1" applyBorder="1"/>
    <xf numFmtId="0" fontId="64" fillId="0" borderId="126" xfId="0" applyFont="1" applyBorder="1"/>
    <xf numFmtId="0" fontId="40" fillId="0" borderId="2" xfId="0" applyFont="1" applyBorder="1" applyAlignment="1">
      <alignment horizontal="center"/>
    </xf>
    <xf numFmtId="0" fontId="40" fillId="0" borderId="98" xfId="0" applyFont="1" applyBorder="1" applyAlignment="1">
      <alignment horizontal="center"/>
    </xf>
    <xf numFmtId="0" fontId="10" fillId="0" borderId="48" xfId="0" applyFont="1" applyBorder="1"/>
    <xf numFmtId="0" fontId="40" fillId="0" borderId="3" xfId="0" applyFont="1" applyBorder="1" applyAlignment="1">
      <alignment horizontal="center"/>
    </xf>
    <xf numFmtId="0" fontId="40" fillId="0" borderId="0" xfId="0" applyFont="1" applyAlignment="1">
      <alignment horizontal="center"/>
    </xf>
    <xf numFmtId="0" fontId="3" fillId="15" borderId="43" xfId="0" applyFont="1" applyFill="1" applyBorder="1" applyAlignment="1">
      <alignment horizontal="center"/>
    </xf>
    <xf numFmtId="0" fontId="3" fillId="15" borderId="89" xfId="0" applyFont="1" applyFill="1" applyBorder="1" applyAlignment="1">
      <alignment horizontal="center"/>
    </xf>
    <xf numFmtId="0" fontId="3" fillId="15" borderId="44" xfId="0" applyFont="1" applyFill="1" applyBorder="1" applyAlignment="1">
      <alignment horizontal="center"/>
    </xf>
    <xf numFmtId="0" fontId="73" fillId="21" borderId="0" xfId="0" applyFont="1" applyFill="1" applyAlignment="1">
      <alignment horizontal="center" vertical="center"/>
    </xf>
    <xf numFmtId="177" fontId="3" fillId="50" borderId="111" xfId="19" applyFont="1" applyFill="1" applyBorder="1" applyAlignment="1">
      <alignment horizontal="center" vertical="center"/>
    </xf>
    <xf numFmtId="177" fontId="3" fillId="50" borderId="112" xfId="19" applyFont="1" applyFill="1" applyBorder="1" applyAlignment="1">
      <alignment horizontal="center" vertical="center"/>
    </xf>
    <xf numFmtId="177" fontId="3" fillId="50" borderId="115" xfId="19" applyFont="1" applyFill="1" applyBorder="1" applyAlignment="1">
      <alignment horizontal="center" vertical="center"/>
    </xf>
    <xf numFmtId="0" fontId="42" fillId="81" borderId="20" xfId="20" applyFont="1" applyFill="1" applyBorder="1" applyAlignment="1">
      <alignment horizontal="center"/>
    </xf>
    <xf numFmtId="0" fontId="64" fillId="0" borderId="21" xfId="20" applyFont="1" applyBorder="1"/>
    <xf numFmtId="0" fontId="64" fillId="0" borderId="22" xfId="20" applyFont="1" applyBorder="1"/>
    <xf numFmtId="0" fontId="69" fillId="0" borderId="2" xfId="20" applyFont="1" applyBorder="1" applyAlignment="1">
      <alignment horizontal="center"/>
    </xf>
    <xf numFmtId="0" fontId="64" fillId="0" borderId="3" xfId="20" applyFont="1" applyBorder="1"/>
    <xf numFmtId="0" fontId="64" fillId="0" borderId="4" xfId="20" applyFont="1" applyBorder="1"/>
    <xf numFmtId="0" fontId="51" fillId="21" borderId="0" xfId="0" applyFont="1" applyFill="1" applyAlignment="1">
      <alignment horizontal="center" vertical="center"/>
    </xf>
    <xf numFmtId="0" fontId="51" fillId="21" borderId="96" xfId="0" applyFont="1" applyFill="1" applyBorder="1" applyAlignment="1">
      <alignment horizontal="center" vertical="center"/>
    </xf>
    <xf numFmtId="0" fontId="37" fillId="42" borderId="64" xfId="0" applyFont="1" applyFill="1" applyBorder="1" applyAlignment="1">
      <alignment horizontal="center"/>
    </xf>
    <xf numFmtId="0" fontId="37" fillId="42" borderId="66" xfId="0" applyFont="1" applyFill="1" applyBorder="1" applyAlignment="1">
      <alignment horizontal="center"/>
    </xf>
    <xf numFmtId="0" fontId="7" fillId="46" borderId="139" xfId="0" applyFont="1" applyFill="1" applyBorder="1" applyAlignment="1">
      <alignment horizontal="center" wrapText="1"/>
    </xf>
    <xf numFmtId="0" fontId="7" fillId="46" borderId="0" xfId="0" applyFont="1" applyFill="1" applyAlignment="1">
      <alignment horizontal="center" wrapText="1"/>
    </xf>
    <xf numFmtId="0" fontId="37" fillId="15" borderId="43" xfId="0" applyFont="1" applyFill="1" applyBorder="1" applyAlignment="1">
      <alignment horizontal="center"/>
    </xf>
    <xf numFmtId="0" fontId="37" fillId="15" borderId="89" xfId="0" applyFont="1" applyFill="1" applyBorder="1" applyAlignment="1">
      <alignment horizontal="center"/>
    </xf>
    <xf numFmtId="0" fontId="37" fillId="15" borderId="44" xfId="0" applyFont="1" applyFill="1" applyBorder="1" applyAlignment="1">
      <alignment horizontal="center"/>
    </xf>
    <xf numFmtId="0" fontId="1" fillId="21" borderId="0" xfId="0" applyFont="1" applyFill="1" applyAlignment="1">
      <alignment horizontal="center" vertical="center" wrapText="1"/>
    </xf>
    <xf numFmtId="0" fontId="22" fillId="14" borderId="0" xfId="0" applyFont="1" applyFill="1" applyAlignment="1">
      <alignment horizontal="center" wrapText="1"/>
    </xf>
    <xf numFmtId="0" fontId="22" fillId="14" borderId="0" xfId="0" applyFont="1" applyFill="1" applyAlignment="1">
      <alignment horizontal="center"/>
    </xf>
    <xf numFmtId="0" fontId="22" fillId="14" borderId="99" xfId="0" applyFont="1" applyFill="1" applyBorder="1" applyAlignment="1">
      <alignment horizontal="center"/>
    </xf>
    <xf numFmtId="0" fontId="7" fillId="14" borderId="156" xfId="0" applyFont="1" applyFill="1" applyBorder="1" applyAlignment="1">
      <alignment horizontal="center"/>
    </xf>
    <xf numFmtId="0" fontId="0" fillId="14" borderId="157" xfId="0" applyFill="1" applyBorder="1" applyAlignment="1">
      <alignment horizontal="center"/>
    </xf>
    <xf numFmtId="0" fontId="0" fillId="14" borderId="158" xfId="0" applyFill="1" applyBorder="1" applyAlignment="1">
      <alignment horizontal="center"/>
    </xf>
    <xf numFmtId="0" fontId="5" fillId="0" borderId="0" xfId="0" applyFont="1" applyAlignment="1">
      <alignment horizontal="center"/>
    </xf>
    <xf numFmtId="0" fontId="101" fillId="14" borderId="0" xfId="0" applyFont="1" applyFill="1" applyAlignment="1">
      <alignment horizontal="center" vertical="center" wrapText="1"/>
    </xf>
    <xf numFmtId="0" fontId="4" fillId="0" borderId="85"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139" xfId="0" applyFont="1" applyBorder="1" applyAlignment="1">
      <alignment horizontal="center" vertical="center" wrapText="1"/>
    </xf>
    <xf numFmtId="0" fontId="4" fillId="0" borderId="109" xfId="0" applyFont="1" applyBorder="1" applyAlignment="1">
      <alignment horizontal="center" vertical="center" wrapText="1"/>
    </xf>
    <xf numFmtId="0" fontId="0" fillId="0" borderId="148" xfId="0" applyBorder="1" applyAlignment="1">
      <alignment horizontal="center"/>
    </xf>
    <xf numFmtId="0" fontId="0" fillId="0" borderId="150" xfId="0" applyBorder="1" applyAlignment="1">
      <alignment horizontal="center"/>
    </xf>
    <xf numFmtId="0" fontId="0" fillId="14" borderId="148" xfId="0" applyFill="1" applyBorder="1" applyAlignment="1">
      <alignment horizontal="center"/>
    </xf>
    <xf numFmtId="0" fontId="0" fillId="14" borderId="150" xfId="0" applyFill="1" applyBorder="1" applyAlignment="1">
      <alignment horizontal="center"/>
    </xf>
    <xf numFmtId="0" fontId="0" fillId="14" borderId="153" xfId="0" applyFill="1" applyBorder="1" applyAlignment="1">
      <alignment horizontal="center"/>
    </xf>
    <xf numFmtId="0" fontId="0" fillId="14" borderId="155" xfId="0" applyFill="1" applyBorder="1" applyAlignment="1">
      <alignment horizontal="center"/>
    </xf>
    <xf numFmtId="0" fontId="0" fillId="0" borderId="149" xfId="0" applyBorder="1" applyAlignment="1">
      <alignment horizontal="center"/>
    </xf>
    <xf numFmtId="0" fontId="88" fillId="46" borderId="0" xfId="0" applyFont="1" applyFill="1" applyAlignment="1">
      <alignment horizontal="center"/>
    </xf>
    <xf numFmtId="0" fontId="51" fillId="21" borderId="62" xfId="0" applyFont="1" applyFill="1" applyBorder="1" applyAlignment="1">
      <alignment horizontal="center"/>
    </xf>
    <xf numFmtId="0" fontId="51" fillId="21" borderId="0" xfId="0" applyFont="1" applyFill="1" applyAlignment="1">
      <alignment horizontal="center"/>
    </xf>
    <xf numFmtId="0" fontId="51" fillId="21" borderId="96" xfId="0" applyFont="1" applyFill="1" applyBorder="1" applyAlignment="1">
      <alignment horizontal="center"/>
    </xf>
    <xf numFmtId="0" fontId="48" fillId="21" borderId="0" xfId="0" applyFont="1" applyFill="1" applyAlignment="1">
      <alignment horizontal="center" vertical="center" wrapText="1"/>
    </xf>
    <xf numFmtId="0" fontId="5" fillId="6" borderId="2" xfId="0" applyFont="1" applyFill="1" applyBorder="1" applyAlignment="1">
      <alignment horizontal="center" vertical="center"/>
    </xf>
    <xf numFmtId="0" fontId="10" fillId="0" borderId="3" xfId="0" applyFont="1" applyBorder="1" applyAlignment="1">
      <alignment vertical="center"/>
    </xf>
    <xf numFmtId="0" fontId="10" fillId="0" borderId="4" xfId="0" applyFont="1" applyBorder="1" applyAlignment="1">
      <alignment vertical="center"/>
    </xf>
    <xf numFmtId="44" fontId="7" fillId="0" borderId="92" xfId="2" applyFont="1" applyBorder="1" applyAlignment="1">
      <alignment horizontal="center" vertical="center"/>
    </xf>
    <xf numFmtId="0" fontId="1" fillId="14" borderId="0" xfId="0" applyFont="1" applyFill="1" applyAlignment="1">
      <alignment horizontal="center"/>
    </xf>
    <xf numFmtId="0" fontId="4" fillId="14" borderId="0" xfId="0" applyFont="1" applyFill="1" applyAlignment="1">
      <alignment horizontal="center"/>
    </xf>
    <xf numFmtId="0" fontId="50" fillId="21" borderId="0" xfId="0" applyFont="1" applyFill="1" applyAlignment="1">
      <alignment horizontal="left"/>
    </xf>
    <xf numFmtId="0" fontId="7" fillId="0" borderId="0" xfId="0" applyFont="1" applyAlignment="1">
      <alignment horizontal="center"/>
    </xf>
    <xf numFmtId="0" fontId="100" fillId="46" borderId="0" xfId="0" applyFont="1" applyFill="1" applyAlignment="1">
      <alignment horizontal="center"/>
    </xf>
    <xf numFmtId="0" fontId="50" fillId="21" borderId="0" xfId="0" applyFont="1" applyFill="1" applyAlignment="1">
      <alignment horizontal="center" vertical="center" wrapText="1"/>
    </xf>
    <xf numFmtId="0" fontId="50" fillId="21" borderId="0" xfId="0" applyFont="1" applyFill="1" applyAlignment="1">
      <alignment horizontal="center" vertical="center"/>
    </xf>
    <xf numFmtId="0" fontId="7" fillId="21" borderId="0" xfId="0" applyFont="1" applyFill="1" applyAlignment="1">
      <alignment horizontal="center"/>
    </xf>
    <xf numFmtId="0" fontId="0" fillId="21" borderId="0" xfId="0" applyFill="1" applyAlignment="1">
      <alignment horizontal="center"/>
    </xf>
    <xf numFmtId="0" fontId="37" fillId="15" borderId="43" xfId="11" applyFont="1" applyFill="1" applyBorder="1" applyAlignment="1">
      <alignment horizontal="center"/>
    </xf>
    <xf numFmtId="0" fontId="37" fillId="15" borderId="89" xfId="11" applyFont="1" applyFill="1" applyBorder="1" applyAlignment="1">
      <alignment horizontal="center"/>
    </xf>
    <xf numFmtId="0" fontId="37" fillId="15" borderId="44" xfId="11" applyFont="1" applyFill="1" applyBorder="1" applyAlignment="1">
      <alignment horizontal="center"/>
    </xf>
    <xf numFmtId="0" fontId="66" fillId="74" borderId="166" xfId="11" applyFont="1" applyFill="1" applyBorder="1" applyAlignment="1">
      <alignment horizontal="center" wrapText="1"/>
    </xf>
    <xf numFmtId="0" fontId="66" fillId="74" borderId="167" xfId="11" applyFont="1" applyFill="1" applyBorder="1" applyAlignment="1">
      <alignment horizontal="center" wrapText="1"/>
    </xf>
    <xf numFmtId="0" fontId="66" fillId="74" borderId="168" xfId="11" applyFont="1" applyFill="1" applyBorder="1" applyAlignment="1">
      <alignment horizontal="center" wrapText="1"/>
    </xf>
    <xf numFmtId="0" fontId="35" fillId="37" borderId="73" xfId="7" applyAlignment="1">
      <alignment horizontal="center" vertical="center"/>
    </xf>
    <xf numFmtId="0" fontId="37" fillId="42" borderId="64" xfId="11" applyFont="1" applyFill="1" applyBorder="1" applyAlignment="1">
      <alignment horizontal="center"/>
    </xf>
    <xf numFmtId="0" fontId="37" fillId="42" borderId="66" xfId="11" applyFont="1" applyFill="1" applyBorder="1" applyAlignment="1">
      <alignment horizontal="center"/>
    </xf>
    <xf numFmtId="0" fontId="20" fillId="53" borderId="55" xfId="11" applyFont="1" applyFill="1" applyBorder="1" applyAlignment="1">
      <alignment horizontal="center"/>
    </xf>
    <xf numFmtId="0" fontId="64" fillId="0" borderId="0" xfId="11" applyFont="1"/>
    <xf numFmtId="0" fontId="20" fillId="67" borderId="55" xfId="11" applyFont="1" applyFill="1" applyBorder="1" applyAlignment="1">
      <alignment horizontal="center"/>
    </xf>
    <xf numFmtId="0" fontId="66" fillId="29" borderId="91" xfId="11" applyFont="1" applyFill="1" applyBorder="1" applyAlignment="1">
      <alignment horizontal="center"/>
    </xf>
    <xf numFmtId="0" fontId="64" fillId="0" borderId="92" xfId="11" applyFont="1" applyBorder="1"/>
    <xf numFmtId="0" fontId="20" fillId="53" borderId="17" xfId="11" applyFont="1" applyFill="1" applyBorder="1" applyAlignment="1">
      <alignment horizontal="center"/>
    </xf>
    <xf numFmtId="0" fontId="64" fillId="0" borderId="77" xfId="11" applyFont="1" applyBorder="1"/>
    <xf numFmtId="0" fontId="20" fillId="53" borderId="20" xfId="11" applyFont="1" applyFill="1" applyBorder="1" applyAlignment="1">
      <alignment horizontal="center"/>
    </xf>
    <xf numFmtId="0" fontId="64" fillId="0" borderId="21" xfId="11" applyFont="1" applyBorder="1"/>
    <xf numFmtId="0" fontId="64" fillId="0" borderId="22" xfId="11" applyFont="1" applyBorder="1"/>
    <xf numFmtId="0" fontId="20" fillId="53" borderId="55" xfId="11" applyFont="1" applyFill="1" applyBorder="1" applyAlignment="1">
      <alignment horizontal="center" wrapText="1"/>
    </xf>
    <xf numFmtId="44" fontId="3" fillId="50" borderId="111" xfId="2" applyFont="1" applyFill="1" applyBorder="1" applyAlignment="1">
      <alignment horizontal="center" vertical="center"/>
    </xf>
    <xf numFmtId="44" fontId="3" fillId="50" borderId="112" xfId="2" applyFont="1" applyFill="1" applyBorder="1" applyAlignment="1">
      <alignment horizontal="center" vertical="center"/>
    </xf>
    <xf numFmtId="44" fontId="3" fillId="50" borderId="115" xfId="2" applyFont="1" applyFill="1" applyBorder="1" applyAlignment="1">
      <alignment horizontal="center" vertical="center"/>
    </xf>
    <xf numFmtId="0" fontId="7" fillId="14" borderId="43" xfId="0" applyFont="1" applyFill="1" applyBorder="1" applyAlignment="1">
      <alignment horizontal="center"/>
    </xf>
    <xf numFmtId="0" fontId="7" fillId="14" borderId="89" xfId="0" applyFont="1" applyFill="1" applyBorder="1" applyAlignment="1">
      <alignment horizontal="center"/>
    </xf>
    <xf numFmtId="0" fontId="7" fillId="14" borderId="44" xfId="0" applyFont="1" applyFill="1" applyBorder="1" applyAlignment="1">
      <alignment horizontal="center"/>
    </xf>
    <xf numFmtId="0" fontId="7" fillId="26" borderId="0" xfId="0" applyFont="1" applyFill="1" applyAlignment="1">
      <alignment horizontal="center" vertical="center" wrapText="1"/>
    </xf>
    <xf numFmtId="0" fontId="3" fillId="53" borderId="43" xfId="16" applyFill="1" applyBorder="1" applyAlignment="1">
      <alignment horizontal="center"/>
    </xf>
    <xf numFmtId="0" fontId="3" fillId="53" borderId="89" xfId="16" applyFill="1" applyBorder="1" applyAlignment="1">
      <alignment horizontal="center"/>
    </xf>
    <xf numFmtId="0" fontId="3" fillId="53" borderId="44" xfId="16" applyFill="1" applyBorder="1" applyAlignment="1">
      <alignment horizontal="center"/>
    </xf>
    <xf numFmtId="0" fontId="42" fillId="29" borderId="91" xfId="16" applyFont="1" applyFill="1" applyBorder="1" applyAlignment="1">
      <alignment horizontal="center"/>
    </xf>
    <xf numFmtId="0" fontId="54" fillId="0" borderId="92" xfId="16" applyFont="1" applyBorder="1"/>
    <xf numFmtId="0" fontId="3" fillId="54" borderId="58" xfId="16" applyFill="1" applyBorder="1" applyAlignment="1">
      <alignment horizontal="center"/>
    </xf>
    <xf numFmtId="0" fontId="3" fillId="54" borderId="0" xfId="16" applyFill="1" applyAlignment="1">
      <alignment horizontal="center"/>
    </xf>
    <xf numFmtId="0" fontId="43" fillId="53" borderId="55" xfId="16" applyFont="1" applyFill="1" applyBorder="1" applyAlignment="1">
      <alignment horizontal="center"/>
    </xf>
    <xf numFmtId="0" fontId="54" fillId="0" borderId="0" xfId="16" applyFont="1"/>
    <xf numFmtId="0" fontId="43" fillId="53" borderId="17" xfId="16" applyFont="1" applyFill="1" applyBorder="1" applyAlignment="1">
      <alignment horizontal="center"/>
    </xf>
    <xf numFmtId="0" fontId="54" fillId="0" borderId="77" xfId="16" applyFont="1" applyBorder="1"/>
    <xf numFmtId="0" fontId="37" fillId="29" borderId="75" xfId="16" applyFont="1" applyFill="1" applyBorder="1" applyAlignment="1">
      <alignment horizontal="center"/>
    </xf>
    <xf numFmtId="0" fontId="38" fillId="0" borderId="61" xfId="16" applyFont="1" applyBorder="1"/>
    <xf numFmtId="0" fontId="66" fillId="74" borderId="166" xfId="16" applyFont="1" applyFill="1" applyBorder="1" applyAlignment="1">
      <alignment horizontal="center" wrapText="1"/>
    </xf>
    <xf numFmtId="0" fontId="66" fillId="74" borderId="167" xfId="16" applyFont="1" applyFill="1" applyBorder="1" applyAlignment="1">
      <alignment horizontal="center" wrapText="1"/>
    </xf>
    <xf numFmtId="0" fontId="66" fillId="74" borderId="168" xfId="16" applyFont="1" applyFill="1" applyBorder="1" applyAlignment="1">
      <alignment horizontal="center" wrapText="1"/>
    </xf>
    <xf numFmtId="0" fontId="37" fillId="15" borderId="43" xfId="16" applyFont="1" applyFill="1" applyBorder="1" applyAlignment="1">
      <alignment horizontal="center"/>
    </xf>
    <xf numFmtId="0" fontId="37" fillId="15" borderId="89" xfId="16" applyFont="1" applyFill="1" applyBorder="1" applyAlignment="1">
      <alignment horizontal="center"/>
    </xf>
    <xf numFmtId="0" fontId="37" fillId="15" borderId="44" xfId="16" applyFont="1" applyFill="1" applyBorder="1" applyAlignment="1">
      <alignment horizontal="center"/>
    </xf>
    <xf numFmtId="0" fontId="37" fillId="42" borderId="64" xfId="16" applyFont="1" applyFill="1" applyBorder="1" applyAlignment="1">
      <alignment horizontal="center"/>
    </xf>
    <xf numFmtId="0" fontId="37" fillId="42" borderId="66" xfId="16" applyFont="1" applyFill="1" applyBorder="1" applyAlignment="1">
      <alignment horizontal="center"/>
    </xf>
    <xf numFmtId="0" fontId="7" fillId="26" borderId="58" xfId="15" applyFill="1" applyBorder="1" applyAlignment="1">
      <alignment horizontal="center"/>
    </xf>
    <xf numFmtId="0" fontId="7" fillId="26" borderId="0" xfId="15" applyFill="1" applyAlignment="1">
      <alignment horizontal="center"/>
    </xf>
    <xf numFmtId="0" fontId="22" fillId="21" borderId="0" xfId="0" applyFont="1" applyFill="1" applyAlignment="1">
      <alignment horizontal="left" vertical="top" wrapText="1"/>
    </xf>
    <xf numFmtId="0" fontId="37" fillId="21" borderId="0" xfId="0" applyFont="1" applyFill="1" applyAlignment="1">
      <alignment horizontal="left" vertical="top" wrapText="1"/>
    </xf>
    <xf numFmtId="0" fontId="37" fillId="21" borderId="0" xfId="0" applyFont="1" applyFill="1" applyAlignment="1">
      <alignment horizontal="left" vertical="top"/>
    </xf>
    <xf numFmtId="0" fontId="6" fillId="3" borderId="40" xfId="0" applyFont="1" applyFill="1" applyBorder="1"/>
    <xf numFmtId="0" fontId="6" fillId="9" borderId="46" xfId="0" applyFont="1" applyFill="1" applyBorder="1" applyAlignment="1">
      <alignment horizontal="right"/>
    </xf>
    <xf numFmtId="0" fontId="10" fillId="0" borderId="186" xfId="0" applyFont="1" applyBorder="1"/>
    <xf numFmtId="180" fontId="9" fillId="88" borderId="14" xfId="0" applyNumberFormat="1" applyFont="1" applyFill="1" applyBorder="1" applyAlignment="1">
      <alignment horizontal="center"/>
    </xf>
    <xf numFmtId="0" fontId="129" fillId="88" borderId="17" xfId="0" applyFont="1" applyFill="1" applyBorder="1" applyAlignment="1">
      <alignment horizontal="center"/>
    </xf>
    <xf numFmtId="0" fontId="7" fillId="14" borderId="0" xfId="0" applyFont="1" applyFill="1" applyAlignment="1">
      <alignment horizontal="left" vertical="center" wrapText="1"/>
    </xf>
    <xf numFmtId="0" fontId="42" fillId="29" borderId="91" xfId="21" applyFont="1" applyFill="1" applyBorder="1" applyAlignment="1">
      <alignment horizontal="center"/>
    </xf>
    <xf numFmtId="0" fontId="54" fillId="0" borderId="92" xfId="21" applyFont="1" applyBorder="1"/>
    <xf numFmtId="0" fontId="43" fillId="53" borderId="55" xfId="21" applyFont="1" applyFill="1" applyBorder="1" applyAlignment="1">
      <alignment horizontal="center"/>
    </xf>
    <xf numFmtId="0" fontId="54" fillId="0" borderId="0" xfId="21" applyFont="1"/>
    <xf numFmtId="0" fontId="43" fillId="53" borderId="17" xfId="21" applyFont="1" applyFill="1" applyBorder="1" applyAlignment="1">
      <alignment horizontal="center"/>
    </xf>
    <xf numFmtId="0" fontId="54" fillId="0" borderId="77" xfId="21" applyFont="1" applyBorder="1"/>
    <xf numFmtId="0" fontId="2" fillId="53" borderId="43" xfId="21" applyFill="1" applyBorder="1" applyAlignment="1">
      <alignment horizontal="center"/>
    </xf>
    <xf numFmtId="0" fontId="2" fillId="53" borderId="89" xfId="21" applyFill="1" applyBorder="1" applyAlignment="1">
      <alignment horizontal="center"/>
    </xf>
    <xf numFmtId="0" fontId="2" fillId="53" borderId="44" xfId="21" applyFill="1" applyBorder="1" applyAlignment="1">
      <alignment horizontal="center"/>
    </xf>
    <xf numFmtId="0" fontId="2" fillId="54" borderId="58" xfId="21" applyFill="1" applyBorder="1" applyAlignment="1">
      <alignment horizontal="center"/>
    </xf>
    <xf numFmtId="0" fontId="2" fillId="54" borderId="0" xfId="21" applyFill="1" applyAlignment="1">
      <alignment horizontal="center"/>
    </xf>
    <xf numFmtId="0" fontId="37" fillId="29" borderId="75" xfId="21" applyFont="1" applyFill="1" applyBorder="1" applyAlignment="1">
      <alignment horizontal="center"/>
    </xf>
    <xf numFmtId="0" fontId="38" fillId="0" borderId="61" xfId="21" applyFont="1" applyBorder="1"/>
    <xf numFmtId="0" fontId="0" fillId="0" borderId="94" xfId="0" applyBorder="1" applyAlignment="1">
      <alignment horizontal="left"/>
    </xf>
    <xf numFmtId="0" fontId="0" fillId="0" borderId="95" xfId="0" applyBorder="1" applyAlignment="1">
      <alignment horizontal="left"/>
    </xf>
    <xf numFmtId="0" fontId="16" fillId="57" borderId="63" xfId="21" applyFont="1" applyFill="1" applyBorder="1" applyAlignment="1">
      <alignment horizontal="center"/>
    </xf>
    <xf numFmtId="0" fontId="58" fillId="42" borderId="43" xfId="21" applyFont="1" applyFill="1" applyBorder="1" applyAlignment="1">
      <alignment horizontal="center" vertical="center"/>
    </xf>
    <xf numFmtId="0" fontId="58" fillId="42" borderId="89" xfId="21" applyFont="1" applyFill="1" applyBorder="1" applyAlignment="1">
      <alignment horizontal="center" vertical="center"/>
    </xf>
    <xf numFmtId="0" fontId="58" fillId="42" borderId="44" xfId="21" applyFont="1" applyFill="1" applyBorder="1" applyAlignment="1">
      <alignment horizontal="center" vertical="center"/>
    </xf>
    <xf numFmtId="0" fontId="2" fillId="15" borderId="43" xfId="21" applyFill="1" applyBorder="1" applyAlignment="1">
      <alignment horizontal="center"/>
    </xf>
    <xf numFmtId="0" fontId="2" fillId="15" borderId="89" xfId="21" applyFill="1" applyBorder="1" applyAlignment="1">
      <alignment horizontal="center"/>
    </xf>
    <xf numFmtId="0" fontId="2" fillId="15" borderId="44" xfId="21" applyFill="1" applyBorder="1" applyAlignment="1">
      <alignment horizontal="center"/>
    </xf>
    <xf numFmtId="177" fontId="2" fillId="50" borderId="111" xfId="23" applyFont="1" applyFill="1" applyBorder="1" applyAlignment="1">
      <alignment horizontal="center" vertical="center"/>
    </xf>
    <xf numFmtId="177" fontId="2" fillId="50" borderId="112" xfId="23" applyFont="1" applyFill="1" applyBorder="1" applyAlignment="1">
      <alignment horizontal="center" vertical="center"/>
    </xf>
    <xf numFmtId="177" fontId="2" fillId="50" borderId="115" xfId="23" applyFont="1" applyFill="1" applyBorder="1" applyAlignment="1">
      <alignment horizontal="center" vertical="center"/>
    </xf>
    <xf numFmtId="177" fontId="2" fillId="40" borderId="0" xfId="24" applyNumberFormat="1" applyAlignment="1">
      <alignment horizontal="center" vertical="center"/>
    </xf>
    <xf numFmtId="0" fontId="37" fillId="42" borderId="64" xfId="21" applyFont="1" applyFill="1" applyBorder="1" applyAlignment="1">
      <alignment horizontal="center"/>
    </xf>
    <xf numFmtId="0" fontId="37" fillId="42" borderId="66" xfId="21" applyFont="1" applyFill="1" applyBorder="1" applyAlignment="1">
      <alignment horizontal="center"/>
    </xf>
    <xf numFmtId="0" fontId="12" fillId="87" borderId="0" xfId="21" applyFont="1" applyFill="1" applyAlignment="1">
      <alignment horizontal="center"/>
    </xf>
    <xf numFmtId="0" fontId="32" fillId="33" borderId="0" xfId="4" applyBorder="1" applyAlignment="1">
      <alignment horizontal="center" vertical="center" wrapText="1"/>
    </xf>
    <xf numFmtId="0" fontId="32" fillId="33" borderId="92" xfId="4" applyBorder="1" applyAlignment="1">
      <alignment horizontal="center" vertical="center" wrapText="1"/>
    </xf>
    <xf numFmtId="0" fontId="46" fillId="0" borderId="63" xfId="21" applyFont="1" applyBorder="1" applyAlignment="1">
      <alignment horizontal="center" wrapText="1"/>
    </xf>
    <xf numFmtId="0" fontId="5" fillId="41" borderId="17" xfId="21" applyFont="1" applyFill="1" applyBorder="1" applyAlignment="1">
      <alignment horizontal="center"/>
    </xf>
    <xf numFmtId="0" fontId="54" fillId="0" borderId="32" xfId="21" applyFont="1" applyBorder="1"/>
    <xf numFmtId="0" fontId="32" fillId="33" borderId="77" xfId="4" applyBorder="1" applyAlignment="1">
      <alignment horizontal="center" vertical="center" wrapText="1"/>
    </xf>
    <xf numFmtId="0" fontId="32" fillId="33" borderId="0" xfId="4" applyAlignment="1">
      <alignment horizontal="center" vertical="center" wrapText="1"/>
    </xf>
    <xf numFmtId="0" fontId="32" fillId="33" borderId="77" xfId="4" applyBorder="1" applyAlignment="1">
      <alignment horizontal="center" wrapText="1"/>
    </xf>
    <xf numFmtId="0" fontId="32" fillId="33" borderId="0" xfId="4" applyAlignment="1">
      <alignment horizontal="center" wrapText="1"/>
    </xf>
    <xf numFmtId="0" fontId="37" fillId="42" borderId="183" xfId="21" applyFont="1" applyFill="1" applyBorder="1" applyAlignment="1">
      <alignment horizontal="center"/>
    </xf>
    <xf numFmtId="0" fontId="37" fillId="42" borderId="184" xfId="21" applyFont="1" applyFill="1" applyBorder="1" applyAlignment="1">
      <alignment horizontal="center"/>
    </xf>
    <xf numFmtId="0" fontId="37" fillId="42" borderId="185" xfId="21" applyFont="1" applyFill="1" applyBorder="1" applyAlignment="1">
      <alignment horizontal="center"/>
    </xf>
    <xf numFmtId="0" fontId="5" fillId="72" borderId="91" xfId="15" applyFont="1" applyFill="1" applyBorder="1" applyAlignment="1">
      <alignment horizontal="center"/>
    </xf>
    <xf numFmtId="0" fontId="10" fillId="0" borderId="92" xfId="15" applyFont="1" applyBorder="1"/>
    <xf numFmtId="0" fontId="66" fillId="42" borderId="64" xfId="21" applyFont="1" applyFill="1" applyBorder="1" applyAlignment="1">
      <alignment horizontal="center"/>
    </xf>
    <xf numFmtId="0" fontId="66" fillId="42" borderId="66" xfId="21" applyFont="1" applyFill="1" applyBorder="1" applyAlignment="1">
      <alignment horizontal="center"/>
    </xf>
  </cellXfs>
  <cellStyles count="26">
    <cellStyle name="20% - Accent2" xfId="9" builtinId="34"/>
    <cellStyle name="20% - Accent2 2" xfId="18" xr:uid="{A46E0CF2-EBB5-4E5B-BA26-9C98442D2EA6}"/>
    <cellStyle name="40% - Accent3" xfId="10" builtinId="39"/>
    <cellStyle name="40% - Accent3 2" xfId="24" xr:uid="{F702B1A4-5A48-4860-9030-CEBC7DDB1B66}"/>
    <cellStyle name="Bad" xfId="5" builtinId="27"/>
    <cellStyle name="Calculation" xfId="7" builtinId="22"/>
    <cellStyle name="Check Cell" xfId="8" builtinId="23"/>
    <cellStyle name="Comma" xfId="3" builtinId="3"/>
    <cellStyle name="Currency" xfId="2" builtinId="4"/>
    <cellStyle name="Currency 2" xfId="13" xr:uid="{C1F19DC3-2780-4277-925B-53BEB9374DFF}"/>
    <cellStyle name="Currency 3" xfId="19" xr:uid="{D983EECC-4202-4612-96B2-C51EEB598CD1}"/>
    <cellStyle name="Currency 4" xfId="23" xr:uid="{38E449F7-004C-42DE-892C-8F2B5D33E5E4}"/>
    <cellStyle name="Good" xfId="4" builtinId="26"/>
    <cellStyle name="Input" xfId="6" builtinId="20"/>
    <cellStyle name="Neutral 2" xfId="12" xr:uid="{612079D6-D3CC-4A3E-A00D-2153668A7797}"/>
    <cellStyle name="Normal" xfId="0" builtinId="0"/>
    <cellStyle name="Normal 2" xfId="11" xr:uid="{FA55B50E-BC0B-4862-8586-31012D9BE0F4}"/>
    <cellStyle name="Normal 2 2" xfId="16" xr:uid="{A2D5B03E-D85C-425B-9899-BC1DF69FA5F6}"/>
    <cellStyle name="Normal 2 3" xfId="21" xr:uid="{4DCFDE7F-D201-47C6-89B3-E1C46F9BCD30}"/>
    <cellStyle name="Normal 3" xfId="15" xr:uid="{91C30D6B-59BE-41E7-A968-2DFFF1D3CA2A}"/>
    <cellStyle name="Normal 4" xfId="20" xr:uid="{87875A60-02A6-4005-B71C-FD560478D0A5}"/>
    <cellStyle name="Normal 4 2" xfId="25" xr:uid="{2A4F9A47-E011-4637-B106-ED2F51792C97}"/>
    <cellStyle name="Percent" xfId="1" builtinId="5"/>
    <cellStyle name="Percent 2" xfId="14" xr:uid="{3C5FF6F4-BF29-4A00-8456-3A80257BF9D3}"/>
    <cellStyle name="Percent 3" xfId="17" xr:uid="{DAD1DE35-8696-4A89-A1CA-578E1F099AC0}"/>
    <cellStyle name="Percent 4" xfId="22" xr:uid="{33D942D7-F889-4751-843F-62D378E590C6}"/>
  </cellStyles>
  <dxfs count="30">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06666"/>
          <bgColor rgb="FFE06666"/>
        </patternFill>
      </fill>
    </dxf>
    <dxf>
      <fill>
        <patternFill patternType="solid">
          <fgColor rgb="FFEA9999"/>
          <bgColor rgb="FFEA9999"/>
        </patternFill>
      </fill>
    </dxf>
    <dxf>
      <fill>
        <patternFill patternType="solid">
          <fgColor rgb="FFEA9999"/>
          <bgColor rgb="FFEA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29.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29.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29.png"/><Relationship Id="rId4" Type="http://schemas.openxmlformats.org/officeDocument/2006/relationships/image" Target="../media/image4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29.png"/><Relationship Id="rId4" Type="http://schemas.openxmlformats.org/officeDocument/2006/relationships/image" Target="../media/image4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29.png"/><Relationship Id="rId4" Type="http://schemas.openxmlformats.org/officeDocument/2006/relationships/image" Target="../media/image4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29.png"/><Relationship Id="rId5" Type="http://schemas.openxmlformats.org/officeDocument/2006/relationships/image" Target="../media/image51.png"/><Relationship Id="rId4" Type="http://schemas.openxmlformats.org/officeDocument/2006/relationships/image" Target="../media/image50.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29.png"/><Relationship Id="rId5" Type="http://schemas.openxmlformats.org/officeDocument/2006/relationships/image" Target="../media/image51.png"/><Relationship Id="rId4" Type="http://schemas.openxmlformats.org/officeDocument/2006/relationships/image" Target="../media/image5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43.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44.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29.png"/><Relationship Id="rId6" Type="http://schemas.openxmlformats.org/officeDocument/2006/relationships/image" Target="../media/image56.png"/><Relationship Id="rId5" Type="http://schemas.openxmlformats.org/officeDocument/2006/relationships/image" Target="../media/image55.png"/><Relationship Id="rId4"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s>
</file>

<file path=xl/drawings/_rels/drawing46.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61.png"/><Relationship Id="rId1" Type="http://schemas.openxmlformats.org/officeDocument/2006/relationships/image" Target="../media/image60.png"/></Relationships>
</file>

<file path=xl/drawings/_rels/drawing4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4" Type="http://schemas.openxmlformats.org/officeDocument/2006/relationships/image" Target="../media/image6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9.xml.rels><?xml version="1.0" encoding="UTF-8" standalone="yes"?>
<Relationships xmlns="http://schemas.openxmlformats.org/package/2006/relationships"><Relationship Id="rId3" Type="http://schemas.openxmlformats.org/officeDocument/2006/relationships/image" Target="../media/image67.png"/><Relationship Id="rId7" Type="http://schemas.openxmlformats.org/officeDocument/2006/relationships/image" Target="../media/image71.png"/><Relationship Id="rId2" Type="http://schemas.openxmlformats.org/officeDocument/2006/relationships/image" Target="../media/image66.png"/><Relationship Id="rId1" Type="http://schemas.openxmlformats.org/officeDocument/2006/relationships/image" Target="../media/image29.png"/><Relationship Id="rId6" Type="http://schemas.openxmlformats.org/officeDocument/2006/relationships/image" Target="../media/image70.png"/><Relationship Id="rId5" Type="http://schemas.openxmlformats.org/officeDocument/2006/relationships/image" Target="../media/image69.png"/><Relationship Id="rId4" Type="http://schemas.openxmlformats.org/officeDocument/2006/relationships/image" Target="../media/image68.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6</xdr:col>
      <xdr:colOff>47625</xdr:colOff>
      <xdr:row>14</xdr:row>
      <xdr:rowOff>133350</xdr:rowOff>
    </xdr:from>
    <xdr:to>
      <xdr:col>9</xdr:col>
      <xdr:colOff>238125</xdr:colOff>
      <xdr:row>15</xdr:row>
      <xdr:rowOff>123825</xdr:rowOff>
    </xdr:to>
    <xdr:cxnSp macro="">
      <xdr:nvCxnSpPr>
        <xdr:cNvPr id="4" name="3 Conector recto de flecha">
          <a:extLst>
            <a:ext uri="{FF2B5EF4-FFF2-40B4-BE49-F238E27FC236}">
              <a16:creationId xmlns:a16="http://schemas.microsoft.com/office/drawing/2014/main" id="{00000000-0008-0000-1C00-000004000000}"/>
            </a:ext>
          </a:extLst>
        </xdr:cNvPr>
        <xdr:cNvCxnSpPr/>
      </xdr:nvCxnSpPr>
      <xdr:spPr>
        <a:xfrm flipV="1">
          <a:off x="8220075" y="2628900"/>
          <a:ext cx="3762375" cy="190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13</xdr:row>
      <xdr:rowOff>76200</xdr:rowOff>
    </xdr:from>
    <xdr:to>
      <xdr:col>9</xdr:col>
      <xdr:colOff>1028700</xdr:colOff>
      <xdr:row>18</xdr:row>
      <xdr:rowOff>76200</xdr:rowOff>
    </xdr:to>
    <xdr:cxnSp macro="">
      <xdr:nvCxnSpPr>
        <xdr:cNvPr id="7" name="6 Conector recto de flecha">
          <a:extLst>
            <a:ext uri="{FF2B5EF4-FFF2-40B4-BE49-F238E27FC236}">
              <a16:creationId xmlns:a16="http://schemas.microsoft.com/office/drawing/2014/main" id="{00000000-0008-0000-1C00-000007000000}"/>
            </a:ext>
          </a:extLst>
        </xdr:cNvPr>
        <xdr:cNvCxnSpPr/>
      </xdr:nvCxnSpPr>
      <xdr:spPr>
        <a:xfrm>
          <a:off x="7277100" y="2381250"/>
          <a:ext cx="5495925" cy="952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5</xdr:col>
      <xdr:colOff>9525</xdr:colOff>
      <xdr:row>28</xdr:row>
      <xdr:rowOff>149668</xdr:rowOff>
    </xdr:to>
    <xdr:pic>
      <xdr:nvPicPr>
        <xdr:cNvPr id="4" name="Picture 3">
          <a:extLst>
            <a:ext uri="{FF2B5EF4-FFF2-40B4-BE49-F238E27FC236}">
              <a16:creationId xmlns:a16="http://schemas.microsoft.com/office/drawing/2014/main" id="{7978696D-FC22-F56D-110E-72686316046F}"/>
            </a:ext>
          </a:extLst>
        </xdr:cNvPr>
        <xdr:cNvPicPr>
          <a:picLocks noChangeAspect="1"/>
        </xdr:cNvPicPr>
      </xdr:nvPicPr>
      <xdr:blipFill>
        <a:blip xmlns:r="http://schemas.openxmlformats.org/officeDocument/2006/relationships" r:embed="rId1"/>
        <a:stretch>
          <a:fillRect/>
        </a:stretch>
      </xdr:blipFill>
      <xdr:spPr>
        <a:xfrm>
          <a:off x="1219200" y="0"/>
          <a:ext cx="5753100" cy="4693093"/>
        </a:xfrm>
        <a:prstGeom prst="rect">
          <a:avLst/>
        </a:prstGeom>
      </xdr:spPr>
    </xdr:pic>
    <xdr:clientData/>
  </xdr:twoCellAnchor>
  <xdr:twoCellAnchor editAs="oneCell">
    <xdr:from>
      <xdr:col>5</xdr:col>
      <xdr:colOff>447675</xdr:colOff>
      <xdr:row>1</xdr:row>
      <xdr:rowOff>0</xdr:rowOff>
    </xdr:from>
    <xdr:to>
      <xdr:col>13</xdr:col>
      <xdr:colOff>361154</xdr:colOff>
      <xdr:row>11</xdr:row>
      <xdr:rowOff>152179</xdr:rowOff>
    </xdr:to>
    <xdr:pic>
      <xdr:nvPicPr>
        <xdr:cNvPr id="5" name="Picture 4">
          <a:extLst>
            <a:ext uri="{FF2B5EF4-FFF2-40B4-BE49-F238E27FC236}">
              <a16:creationId xmlns:a16="http://schemas.microsoft.com/office/drawing/2014/main" id="{A5CFCACA-51D9-5F6A-5AD9-22B260990695}"/>
            </a:ext>
          </a:extLst>
        </xdr:cNvPr>
        <xdr:cNvPicPr>
          <a:picLocks noChangeAspect="1"/>
        </xdr:cNvPicPr>
      </xdr:nvPicPr>
      <xdr:blipFill>
        <a:blip xmlns:r="http://schemas.openxmlformats.org/officeDocument/2006/relationships" r:embed="rId2"/>
        <a:stretch>
          <a:fillRect/>
        </a:stretch>
      </xdr:blipFill>
      <xdr:spPr>
        <a:xfrm>
          <a:off x="7410450" y="161925"/>
          <a:ext cx="6371429" cy="17714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332615</xdr:colOff>
      <xdr:row>29</xdr:row>
      <xdr:rowOff>18500</xdr:rowOff>
    </xdr:to>
    <xdr:pic>
      <xdr:nvPicPr>
        <xdr:cNvPr id="4" name="Picture 3">
          <a:extLst>
            <a:ext uri="{FF2B5EF4-FFF2-40B4-BE49-F238E27FC236}">
              <a16:creationId xmlns:a16="http://schemas.microsoft.com/office/drawing/2014/main" id="{641DF499-6CBE-4714-B2C4-CAF042ECBF5E}"/>
            </a:ext>
          </a:extLst>
        </xdr:cNvPr>
        <xdr:cNvPicPr>
          <a:picLocks noChangeAspect="1"/>
        </xdr:cNvPicPr>
      </xdr:nvPicPr>
      <xdr:blipFill>
        <a:blip xmlns:r="http://schemas.openxmlformats.org/officeDocument/2006/relationships" r:embed="rId1"/>
        <a:stretch>
          <a:fillRect/>
        </a:stretch>
      </xdr:blipFill>
      <xdr:spPr>
        <a:xfrm>
          <a:off x="1219200" y="323850"/>
          <a:ext cx="6076190" cy="44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6</xdr:col>
      <xdr:colOff>247650</xdr:colOff>
      <xdr:row>63</xdr:row>
      <xdr:rowOff>28575</xdr:rowOff>
    </xdr:to>
    <xdr:pic>
      <xdr:nvPicPr>
        <xdr:cNvPr id="3" name="Picture 2">
          <a:extLst>
            <a:ext uri="{FF2B5EF4-FFF2-40B4-BE49-F238E27FC236}">
              <a16:creationId xmlns:a16="http://schemas.microsoft.com/office/drawing/2014/main" id="{EA1357F5-A691-1DF4-C73D-23D65EA9F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 y="0"/>
          <a:ext cx="8343900" cy="121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695325</xdr:colOff>
      <xdr:row>69</xdr:row>
      <xdr:rowOff>95250</xdr:rowOff>
    </xdr:from>
    <xdr:to>
      <xdr:col>5</xdr:col>
      <xdr:colOff>1733550</xdr:colOff>
      <xdr:row>84</xdr:row>
      <xdr:rowOff>117441</xdr:rowOff>
    </xdr:to>
    <xdr:pic>
      <xdr:nvPicPr>
        <xdr:cNvPr id="2" name="Picture 1">
          <a:extLst>
            <a:ext uri="{FF2B5EF4-FFF2-40B4-BE49-F238E27FC236}">
              <a16:creationId xmlns:a16="http://schemas.microsoft.com/office/drawing/2014/main" id="{D2CEDCD7-35D8-96B8-36C9-C264411914D7}"/>
            </a:ext>
          </a:extLst>
        </xdr:cNvPr>
        <xdr:cNvPicPr>
          <a:picLocks noChangeAspect="1"/>
        </xdr:cNvPicPr>
      </xdr:nvPicPr>
      <xdr:blipFill>
        <a:blip xmlns:r="http://schemas.openxmlformats.org/officeDocument/2006/relationships" r:embed="rId2"/>
        <a:stretch>
          <a:fillRect/>
        </a:stretch>
      </xdr:blipFill>
      <xdr:spPr>
        <a:xfrm>
          <a:off x="1914525" y="13068300"/>
          <a:ext cx="6886575" cy="2612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6</xdr:col>
      <xdr:colOff>247650</xdr:colOff>
      <xdr:row>68</xdr:row>
      <xdr:rowOff>47625</xdr:rowOff>
    </xdr:to>
    <xdr:pic>
      <xdr:nvPicPr>
        <xdr:cNvPr id="2" name="Picture 1">
          <a:extLst>
            <a:ext uri="{FF2B5EF4-FFF2-40B4-BE49-F238E27FC236}">
              <a16:creationId xmlns:a16="http://schemas.microsoft.com/office/drawing/2014/main" id="{CEB0A5A5-B3E2-4DBC-A324-EE3F87C6C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 y="0"/>
          <a:ext cx="8343900" cy="121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69</xdr:row>
      <xdr:rowOff>123825</xdr:rowOff>
    </xdr:from>
    <xdr:to>
      <xdr:col>5</xdr:col>
      <xdr:colOff>1724025</xdr:colOff>
      <xdr:row>85</xdr:row>
      <xdr:rowOff>22191</xdr:rowOff>
    </xdr:to>
    <xdr:pic>
      <xdr:nvPicPr>
        <xdr:cNvPr id="3" name="Picture 2">
          <a:extLst>
            <a:ext uri="{FF2B5EF4-FFF2-40B4-BE49-F238E27FC236}">
              <a16:creationId xmlns:a16="http://schemas.microsoft.com/office/drawing/2014/main" id="{BCF77077-B070-4D4E-BA5B-ADA70D3189AA}"/>
            </a:ext>
          </a:extLst>
        </xdr:cNvPr>
        <xdr:cNvPicPr>
          <a:picLocks noChangeAspect="1"/>
        </xdr:cNvPicPr>
      </xdr:nvPicPr>
      <xdr:blipFill>
        <a:blip xmlns:r="http://schemas.openxmlformats.org/officeDocument/2006/relationships" r:embed="rId2"/>
        <a:stretch>
          <a:fillRect/>
        </a:stretch>
      </xdr:blipFill>
      <xdr:spPr>
        <a:xfrm>
          <a:off x="1905000" y="12592050"/>
          <a:ext cx="6886575" cy="2612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57150</xdr:colOff>
      <xdr:row>0</xdr:row>
      <xdr:rowOff>0</xdr:rowOff>
    </xdr:from>
    <xdr:to>
      <xdr:col>5</xdr:col>
      <xdr:colOff>837371</xdr:colOff>
      <xdr:row>49</xdr:row>
      <xdr:rowOff>27571</xdr:rowOff>
    </xdr:to>
    <xdr:pic>
      <xdr:nvPicPr>
        <xdr:cNvPr id="4" name="Picture 3">
          <a:extLst>
            <a:ext uri="{FF2B5EF4-FFF2-40B4-BE49-F238E27FC236}">
              <a16:creationId xmlns:a16="http://schemas.microsoft.com/office/drawing/2014/main" id="{AD2F7A45-2E0B-8D69-4591-7C2EEAABBCAD}"/>
            </a:ext>
          </a:extLst>
        </xdr:cNvPr>
        <xdr:cNvPicPr>
          <a:picLocks noChangeAspect="1"/>
        </xdr:cNvPicPr>
      </xdr:nvPicPr>
      <xdr:blipFill>
        <a:blip xmlns:r="http://schemas.openxmlformats.org/officeDocument/2006/relationships" r:embed="rId1"/>
        <a:stretch>
          <a:fillRect/>
        </a:stretch>
      </xdr:blipFill>
      <xdr:spPr>
        <a:xfrm>
          <a:off x="1276350" y="0"/>
          <a:ext cx="6628571" cy="8028571"/>
        </a:xfrm>
        <a:prstGeom prst="rect">
          <a:avLst/>
        </a:prstGeom>
      </xdr:spPr>
    </xdr:pic>
    <xdr:clientData/>
  </xdr:twoCellAnchor>
  <xdr:twoCellAnchor editAs="oneCell">
    <xdr:from>
      <xdr:col>2</xdr:col>
      <xdr:colOff>152400</xdr:colOff>
      <xdr:row>49</xdr:row>
      <xdr:rowOff>152400</xdr:rowOff>
    </xdr:from>
    <xdr:to>
      <xdr:col>5</xdr:col>
      <xdr:colOff>285002</xdr:colOff>
      <xdr:row>56</xdr:row>
      <xdr:rowOff>123680</xdr:rowOff>
    </xdr:to>
    <xdr:pic>
      <xdr:nvPicPr>
        <xdr:cNvPr id="6" name="Picture 5">
          <a:extLst>
            <a:ext uri="{FF2B5EF4-FFF2-40B4-BE49-F238E27FC236}">
              <a16:creationId xmlns:a16="http://schemas.microsoft.com/office/drawing/2014/main" id="{E7F3B00F-399B-DD34-C62F-FF07C10077D2}"/>
            </a:ext>
          </a:extLst>
        </xdr:cNvPr>
        <xdr:cNvPicPr>
          <a:picLocks noChangeAspect="1"/>
        </xdr:cNvPicPr>
      </xdr:nvPicPr>
      <xdr:blipFill>
        <a:blip xmlns:r="http://schemas.openxmlformats.org/officeDocument/2006/relationships" r:embed="rId2"/>
        <a:stretch>
          <a:fillRect/>
        </a:stretch>
      </xdr:blipFill>
      <xdr:spPr>
        <a:xfrm>
          <a:off x="1371600" y="8086725"/>
          <a:ext cx="5980952" cy="1161905"/>
        </a:xfrm>
        <a:prstGeom prst="rect">
          <a:avLst/>
        </a:prstGeom>
      </xdr:spPr>
    </xdr:pic>
    <xdr:clientData/>
  </xdr:twoCellAnchor>
  <xdr:twoCellAnchor editAs="oneCell">
    <xdr:from>
      <xdr:col>1</xdr:col>
      <xdr:colOff>76200</xdr:colOff>
      <xdr:row>56</xdr:row>
      <xdr:rowOff>95250</xdr:rowOff>
    </xdr:from>
    <xdr:to>
      <xdr:col>4</xdr:col>
      <xdr:colOff>828675</xdr:colOff>
      <xdr:row>92</xdr:row>
      <xdr:rowOff>45594</xdr:rowOff>
    </xdr:to>
    <xdr:pic>
      <xdr:nvPicPr>
        <xdr:cNvPr id="7" name="Picture 6">
          <a:extLst>
            <a:ext uri="{FF2B5EF4-FFF2-40B4-BE49-F238E27FC236}">
              <a16:creationId xmlns:a16="http://schemas.microsoft.com/office/drawing/2014/main" id="{EFB79D5B-60AB-3778-CF84-D5E481D4C7D9}"/>
            </a:ext>
          </a:extLst>
        </xdr:cNvPr>
        <xdr:cNvPicPr>
          <a:picLocks noChangeAspect="1"/>
        </xdr:cNvPicPr>
      </xdr:nvPicPr>
      <xdr:blipFill>
        <a:blip xmlns:r="http://schemas.openxmlformats.org/officeDocument/2006/relationships" r:embed="rId3"/>
        <a:stretch>
          <a:fillRect/>
        </a:stretch>
      </xdr:blipFill>
      <xdr:spPr>
        <a:xfrm>
          <a:off x="685800" y="9277350"/>
          <a:ext cx="6210300" cy="6093969"/>
        </a:xfrm>
        <a:prstGeom prst="rect">
          <a:avLst/>
        </a:prstGeom>
      </xdr:spPr>
    </xdr:pic>
    <xdr:clientData/>
  </xdr:twoCellAnchor>
  <xdr:twoCellAnchor editAs="oneCell">
    <xdr:from>
      <xdr:col>11</xdr:col>
      <xdr:colOff>438150</xdr:colOff>
      <xdr:row>52</xdr:row>
      <xdr:rowOff>38101</xdr:rowOff>
    </xdr:from>
    <xdr:to>
      <xdr:col>15</xdr:col>
      <xdr:colOff>180318</xdr:colOff>
      <xdr:row>55</xdr:row>
      <xdr:rowOff>151128</xdr:rowOff>
    </xdr:to>
    <xdr:pic>
      <xdr:nvPicPr>
        <xdr:cNvPr id="8" name="Picture 7">
          <a:extLst>
            <a:ext uri="{FF2B5EF4-FFF2-40B4-BE49-F238E27FC236}">
              <a16:creationId xmlns:a16="http://schemas.microsoft.com/office/drawing/2014/main" id="{63143F20-19E9-B07B-803E-2FFA7A1316F7}"/>
            </a:ext>
          </a:extLst>
        </xdr:cNvPr>
        <xdr:cNvPicPr>
          <a:picLocks noChangeAspect="1"/>
        </xdr:cNvPicPr>
      </xdr:nvPicPr>
      <xdr:blipFill>
        <a:blip xmlns:r="http://schemas.openxmlformats.org/officeDocument/2006/relationships" r:embed="rId4"/>
        <a:stretch>
          <a:fillRect/>
        </a:stretch>
      </xdr:blipFill>
      <xdr:spPr>
        <a:xfrm>
          <a:off x="15068550" y="8582026"/>
          <a:ext cx="4790418" cy="5988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24</xdr:col>
      <xdr:colOff>659146</xdr:colOff>
      <xdr:row>57</xdr:row>
      <xdr:rowOff>145035</xdr:rowOff>
    </xdr:from>
    <xdr:ext cx="6257925" cy="4105275"/>
    <xdr:pic>
      <xdr:nvPicPr>
        <xdr:cNvPr id="2" name="image2.png" title="Imagen">
          <a:extLst>
            <a:ext uri="{FF2B5EF4-FFF2-40B4-BE49-F238E27FC236}">
              <a16:creationId xmlns:a16="http://schemas.microsoft.com/office/drawing/2014/main" id="{CEE0145E-465C-4204-9439-19594AC08383}"/>
            </a:ext>
          </a:extLst>
        </xdr:cNvPr>
        <xdr:cNvPicPr preferRelativeResize="0"/>
      </xdr:nvPicPr>
      <xdr:blipFill>
        <a:blip xmlns:r="http://schemas.openxmlformats.org/officeDocument/2006/relationships" r:embed="rId1" cstate="print"/>
        <a:stretch>
          <a:fillRect/>
        </a:stretch>
      </xdr:blipFill>
      <xdr:spPr>
        <a:xfrm>
          <a:off x="33939496" y="11003535"/>
          <a:ext cx="6257925" cy="41052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2</xdr:col>
      <xdr:colOff>457200</xdr:colOff>
      <xdr:row>0</xdr:row>
      <xdr:rowOff>47625</xdr:rowOff>
    </xdr:from>
    <xdr:to>
      <xdr:col>5</xdr:col>
      <xdr:colOff>342175</xdr:colOff>
      <xdr:row>48</xdr:row>
      <xdr:rowOff>122839</xdr:rowOff>
    </xdr:to>
    <xdr:pic>
      <xdr:nvPicPr>
        <xdr:cNvPr id="3" name="Picture 2">
          <a:extLst>
            <a:ext uri="{FF2B5EF4-FFF2-40B4-BE49-F238E27FC236}">
              <a16:creationId xmlns:a16="http://schemas.microsoft.com/office/drawing/2014/main" id="{463AF9A1-7244-A3D5-E023-1D02794F7E9E}"/>
            </a:ext>
          </a:extLst>
        </xdr:cNvPr>
        <xdr:cNvPicPr>
          <a:picLocks noChangeAspect="1"/>
        </xdr:cNvPicPr>
      </xdr:nvPicPr>
      <xdr:blipFill>
        <a:blip xmlns:r="http://schemas.openxmlformats.org/officeDocument/2006/relationships" r:embed="rId1"/>
        <a:stretch>
          <a:fillRect/>
        </a:stretch>
      </xdr:blipFill>
      <xdr:spPr>
        <a:xfrm>
          <a:off x="1676400" y="47625"/>
          <a:ext cx="5800000" cy="7885714"/>
        </a:xfrm>
        <a:prstGeom prst="rect">
          <a:avLst/>
        </a:prstGeom>
      </xdr:spPr>
    </xdr:pic>
    <xdr:clientData/>
  </xdr:twoCellAnchor>
  <xdr:twoCellAnchor editAs="oneCell">
    <xdr:from>
      <xdr:col>5</xdr:col>
      <xdr:colOff>523875</xdr:colOff>
      <xdr:row>0</xdr:row>
      <xdr:rowOff>28575</xdr:rowOff>
    </xdr:from>
    <xdr:to>
      <xdr:col>9</xdr:col>
      <xdr:colOff>751751</xdr:colOff>
      <xdr:row>44</xdr:row>
      <xdr:rowOff>56253</xdr:rowOff>
    </xdr:to>
    <xdr:pic>
      <xdr:nvPicPr>
        <xdr:cNvPr id="4" name="Picture 3">
          <a:extLst>
            <a:ext uri="{FF2B5EF4-FFF2-40B4-BE49-F238E27FC236}">
              <a16:creationId xmlns:a16="http://schemas.microsoft.com/office/drawing/2014/main" id="{4D87B865-4046-CC23-3C3D-767A54542218}"/>
            </a:ext>
          </a:extLst>
        </xdr:cNvPr>
        <xdr:cNvPicPr>
          <a:picLocks noChangeAspect="1"/>
        </xdr:cNvPicPr>
      </xdr:nvPicPr>
      <xdr:blipFill>
        <a:blip xmlns:r="http://schemas.openxmlformats.org/officeDocument/2006/relationships" r:embed="rId2"/>
        <a:stretch>
          <a:fillRect/>
        </a:stretch>
      </xdr:blipFill>
      <xdr:spPr>
        <a:xfrm>
          <a:off x="7658100" y="28575"/>
          <a:ext cx="5790476" cy="7171428"/>
        </a:xfrm>
        <a:prstGeom prst="rect">
          <a:avLst/>
        </a:prstGeom>
      </xdr:spPr>
    </xdr:pic>
    <xdr:clientData/>
  </xdr:twoCellAnchor>
  <xdr:twoCellAnchor>
    <xdr:from>
      <xdr:col>8</xdr:col>
      <xdr:colOff>257175</xdr:colOff>
      <xdr:row>69</xdr:row>
      <xdr:rowOff>9525</xdr:rowOff>
    </xdr:from>
    <xdr:to>
      <xdr:col>11</xdr:col>
      <xdr:colOff>476250</xdr:colOff>
      <xdr:row>104</xdr:row>
      <xdr:rowOff>19641</xdr:rowOff>
    </xdr:to>
    <xdr:sp macro="" textlink="">
      <xdr:nvSpPr>
        <xdr:cNvPr id="7" name="Freeform: Shape 6">
          <a:extLst>
            <a:ext uri="{FF2B5EF4-FFF2-40B4-BE49-F238E27FC236}">
              <a16:creationId xmlns:a16="http://schemas.microsoft.com/office/drawing/2014/main" id="{634DC323-AB82-2B72-8BA3-5292EAD2E22F}"/>
            </a:ext>
          </a:extLst>
        </xdr:cNvPr>
        <xdr:cNvSpPr/>
      </xdr:nvSpPr>
      <xdr:spPr>
        <a:xfrm>
          <a:off x="11772900" y="11382375"/>
          <a:ext cx="3476625" cy="5829891"/>
        </a:xfrm>
        <a:custGeom>
          <a:avLst/>
          <a:gdLst>
            <a:gd name="connsiteX0" fmla="*/ 0 w 3476625"/>
            <a:gd name="connsiteY0" fmla="*/ 0 h 5829891"/>
            <a:gd name="connsiteX1" fmla="*/ 762000 w 3476625"/>
            <a:gd name="connsiteY1" fmla="*/ 76200 h 5829891"/>
            <a:gd name="connsiteX2" fmla="*/ 1276350 w 3476625"/>
            <a:gd name="connsiteY2" fmla="*/ 295275 h 5829891"/>
            <a:gd name="connsiteX3" fmla="*/ 1381125 w 3476625"/>
            <a:gd name="connsiteY3" fmla="*/ 371475 h 5829891"/>
            <a:gd name="connsiteX4" fmla="*/ 1514475 w 3476625"/>
            <a:gd name="connsiteY4" fmla="*/ 457200 h 5829891"/>
            <a:gd name="connsiteX5" fmla="*/ 1704975 w 3476625"/>
            <a:gd name="connsiteY5" fmla="*/ 561975 h 5829891"/>
            <a:gd name="connsiteX6" fmla="*/ 1895475 w 3476625"/>
            <a:gd name="connsiteY6" fmla="*/ 714375 h 5829891"/>
            <a:gd name="connsiteX7" fmla="*/ 2419350 w 3476625"/>
            <a:gd name="connsiteY7" fmla="*/ 1190625 h 5829891"/>
            <a:gd name="connsiteX8" fmla="*/ 3057525 w 3476625"/>
            <a:gd name="connsiteY8" fmla="*/ 2066925 h 5829891"/>
            <a:gd name="connsiteX9" fmla="*/ 3143250 w 3476625"/>
            <a:gd name="connsiteY9" fmla="*/ 2228850 h 5829891"/>
            <a:gd name="connsiteX10" fmla="*/ 3190875 w 3476625"/>
            <a:gd name="connsiteY10" fmla="*/ 2447925 h 5829891"/>
            <a:gd name="connsiteX11" fmla="*/ 3267075 w 3476625"/>
            <a:gd name="connsiteY11" fmla="*/ 2800350 h 5829891"/>
            <a:gd name="connsiteX12" fmla="*/ 3333750 w 3476625"/>
            <a:gd name="connsiteY12" fmla="*/ 2943225 h 5829891"/>
            <a:gd name="connsiteX13" fmla="*/ 3352800 w 3476625"/>
            <a:gd name="connsiteY13" fmla="*/ 3019425 h 5829891"/>
            <a:gd name="connsiteX14" fmla="*/ 3409950 w 3476625"/>
            <a:gd name="connsiteY14" fmla="*/ 3181350 h 5829891"/>
            <a:gd name="connsiteX15" fmla="*/ 3448050 w 3476625"/>
            <a:gd name="connsiteY15" fmla="*/ 3448050 h 5829891"/>
            <a:gd name="connsiteX16" fmla="*/ 3467100 w 3476625"/>
            <a:gd name="connsiteY16" fmla="*/ 3752850 h 5829891"/>
            <a:gd name="connsiteX17" fmla="*/ 3476625 w 3476625"/>
            <a:gd name="connsiteY17" fmla="*/ 3867150 h 5829891"/>
            <a:gd name="connsiteX18" fmla="*/ 3467100 w 3476625"/>
            <a:gd name="connsiteY18" fmla="*/ 3971925 h 5829891"/>
            <a:gd name="connsiteX19" fmla="*/ 3457575 w 3476625"/>
            <a:gd name="connsiteY19" fmla="*/ 4095750 h 5829891"/>
            <a:gd name="connsiteX20" fmla="*/ 3448050 w 3476625"/>
            <a:gd name="connsiteY20" fmla="*/ 4171950 h 5829891"/>
            <a:gd name="connsiteX21" fmla="*/ 3409950 w 3476625"/>
            <a:gd name="connsiteY21" fmla="*/ 4276725 h 5829891"/>
            <a:gd name="connsiteX22" fmla="*/ 3371850 w 3476625"/>
            <a:gd name="connsiteY22" fmla="*/ 4410075 h 5829891"/>
            <a:gd name="connsiteX23" fmla="*/ 3219450 w 3476625"/>
            <a:gd name="connsiteY23" fmla="*/ 4695825 h 5829891"/>
            <a:gd name="connsiteX24" fmla="*/ 2781300 w 3476625"/>
            <a:gd name="connsiteY24" fmla="*/ 5057775 h 5829891"/>
            <a:gd name="connsiteX25" fmla="*/ 2457450 w 3476625"/>
            <a:gd name="connsiteY25" fmla="*/ 5257800 h 5829891"/>
            <a:gd name="connsiteX26" fmla="*/ 2114550 w 3476625"/>
            <a:gd name="connsiteY26" fmla="*/ 5362575 h 5829891"/>
            <a:gd name="connsiteX27" fmla="*/ 1952625 w 3476625"/>
            <a:gd name="connsiteY27" fmla="*/ 5391150 h 5829891"/>
            <a:gd name="connsiteX28" fmla="*/ 1819275 w 3476625"/>
            <a:gd name="connsiteY28" fmla="*/ 5419725 h 5829891"/>
            <a:gd name="connsiteX29" fmla="*/ 1666875 w 3476625"/>
            <a:gd name="connsiteY29" fmla="*/ 5448300 h 5829891"/>
            <a:gd name="connsiteX30" fmla="*/ 1428750 w 3476625"/>
            <a:gd name="connsiteY30" fmla="*/ 5524500 h 5829891"/>
            <a:gd name="connsiteX31" fmla="*/ 1304925 w 3476625"/>
            <a:gd name="connsiteY31" fmla="*/ 5553075 h 5829891"/>
            <a:gd name="connsiteX32" fmla="*/ 1314450 w 3476625"/>
            <a:gd name="connsiteY32" fmla="*/ 5400675 h 5829891"/>
            <a:gd name="connsiteX33" fmla="*/ 1371600 w 3476625"/>
            <a:gd name="connsiteY33" fmla="*/ 5238750 h 5829891"/>
            <a:gd name="connsiteX34" fmla="*/ 1333500 w 3476625"/>
            <a:gd name="connsiteY34" fmla="*/ 5314950 h 5829891"/>
            <a:gd name="connsiteX35" fmla="*/ 1247775 w 3476625"/>
            <a:gd name="connsiteY35" fmla="*/ 5438775 h 5829891"/>
            <a:gd name="connsiteX36" fmla="*/ 1209675 w 3476625"/>
            <a:gd name="connsiteY36" fmla="*/ 5495925 h 5829891"/>
            <a:gd name="connsiteX37" fmla="*/ 1200150 w 3476625"/>
            <a:gd name="connsiteY37" fmla="*/ 5543550 h 5829891"/>
            <a:gd name="connsiteX38" fmla="*/ 1323975 w 3476625"/>
            <a:gd name="connsiteY38" fmla="*/ 5629275 h 5829891"/>
            <a:gd name="connsiteX39" fmla="*/ 1628775 w 3476625"/>
            <a:gd name="connsiteY39" fmla="*/ 5705475 h 5829891"/>
            <a:gd name="connsiteX40" fmla="*/ 1838325 w 3476625"/>
            <a:gd name="connsiteY40" fmla="*/ 5829300 h 5829891"/>
            <a:gd name="connsiteX41" fmla="*/ 1847850 w 3476625"/>
            <a:gd name="connsiteY41" fmla="*/ 5829300 h 5829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3476625" h="5829891">
              <a:moveTo>
                <a:pt x="0" y="0"/>
              </a:moveTo>
              <a:cubicBezTo>
                <a:pt x="254000" y="25400"/>
                <a:pt x="510640" y="31711"/>
                <a:pt x="762000" y="76200"/>
              </a:cubicBezTo>
              <a:cubicBezTo>
                <a:pt x="900342" y="100685"/>
                <a:pt x="1144134" y="216772"/>
                <a:pt x="1276350" y="295275"/>
              </a:cubicBezTo>
              <a:cubicBezTo>
                <a:pt x="1313483" y="317322"/>
                <a:pt x="1345414" y="347192"/>
                <a:pt x="1381125" y="371475"/>
              </a:cubicBezTo>
              <a:cubicBezTo>
                <a:pt x="1424822" y="401189"/>
                <a:pt x="1468928" y="430408"/>
                <a:pt x="1514475" y="457200"/>
              </a:cubicBezTo>
              <a:cubicBezTo>
                <a:pt x="1576940" y="493944"/>
                <a:pt x="1644908" y="521430"/>
                <a:pt x="1704975" y="561975"/>
              </a:cubicBezTo>
              <a:cubicBezTo>
                <a:pt x="1772377" y="607471"/>
                <a:pt x="1834427" y="660653"/>
                <a:pt x="1895475" y="714375"/>
              </a:cubicBezTo>
              <a:cubicBezTo>
                <a:pt x="2072643" y="870282"/>
                <a:pt x="2275311" y="1003681"/>
                <a:pt x="2419350" y="1190625"/>
              </a:cubicBezTo>
              <a:cubicBezTo>
                <a:pt x="2740027" y="1606823"/>
                <a:pt x="2829567" y="1689616"/>
                <a:pt x="3057525" y="2066925"/>
              </a:cubicBezTo>
              <a:cubicBezTo>
                <a:pt x="3089106" y="2119198"/>
                <a:pt x="3114675" y="2174875"/>
                <a:pt x="3143250" y="2228850"/>
              </a:cubicBezTo>
              <a:cubicBezTo>
                <a:pt x="3159125" y="2301875"/>
                <a:pt x="3181606" y="2373771"/>
                <a:pt x="3190875" y="2447925"/>
              </a:cubicBezTo>
              <a:cubicBezTo>
                <a:pt x="3211181" y="2610370"/>
                <a:pt x="3205810" y="2630692"/>
                <a:pt x="3267075" y="2800350"/>
              </a:cubicBezTo>
              <a:cubicBezTo>
                <a:pt x="3284925" y="2849781"/>
                <a:pt x="3314599" y="2894283"/>
                <a:pt x="3333750" y="2943225"/>
              </a:cubicBezTo>
              <a:cubicBezTo>
                <a:pt x="3343291" y="2967607"/>
                <a:pt x="3344521" y="2994587"/>
                <a:pt x="3352800" y="3019425"/>
              </a:cubicBezTo>
              <a:cubicBezTo>
                <a:pt x="3379595" y="3099809"/>
                <a:pt x="3394950" y="3106350"/>
                <a:pt x="3409950" y="3181350"/>
              </a:cubicBezTo>
              <a:cubicBezTo>
                <a:pt x="3420492" y="3234062"/>
                <a:pt x="3441675" y="3400234"/>
                <a:pt x="3448050" y="3448050"/>
              </a:cubicBezTo>
              <a:cubicBezTo>
                <a:pt x="3454008" y="3549330"/>
                <a:pt x="3459602" y="3651626"/>
                <a:pt x="3467100" y="3752850"/>
              </a:cubicBezTo>
              <a:cubicBezTo>
                <a:pt x="3469924" y="3790978"/>
                <a:pt x="3473450" y="3829050"/>
                <a:pt x="3476625" y="3867150"/>
              </a:cubicBezTo>
              <a:cubicBezTo>
                <a:pt x="3473450" y="3902075"/>
                <a:pt x="3470012" y="3936977"/>
                <a:pt x="3467100" y="3971925"/>
              </a:cubicBezTo>
              <a:cubicBezTo>
                <a:pt x="3463662" y="4013179"/>
                <a:pt x="3461500" y="4054540"/>
                <a:pt x="3457575" y="4095750"/>
              </a:cubicBezTo>
              <a:cubicBezTo>
                <a:pt x="3455148" y="4121232"/>
                <a:pt x="3454564" y="4147195"/>
                <a:pt x="3448050" y="4171950"/>
              </a:cubicBezTo>
              <a:cubicBezTo>
                <a:pt x="3438592" y="4207889"/>
                <a:pt x="3421276" y="4241331"/>
                <a:pt x="3409950" y="4276725"/>
              </a:cubicBezTo>
              <a:cubicBezTo>
                <a:pt x="3395861" y="4320754"/>
                <a:pt x="3387764" y="4366672"/>
                <a:pt x="3371850" y="4410075"/>
              </a:cubicBezTo>
              <a:cubicBezTo>
                <a:pt x="3341690" y="4492330"/>
                <a:pt x="3280176" y="4628817"/>
                <a:pt x="3219450" y="4695825"/>
              </a:cubicBezTo>
              <a:cubicBezTo>
                <a:pt x="3124857" y="4800203"/>
                <a:pt x="2885371" y="4981890"/>
                <a:pt x="2781300" y="5057775"/>
              </a:cubicBezTo>
              <a:cubicBezTo>
                <a:pt x="2686267" y="5127070"/>
                <a:pt x="2571931" y="5212007"/>
                <a:pt x="2457450" y="5257800"/>
              </a:cubicBezTo>
              <a:cubicBezTo>
                <a:pt x="2385191" y="5286704"/>
                <a:pt x="2190976" y="5345106"/>
                <a:pt x="2114550" y="5362575"/>
              </a:cubicBezTo>
              <a:cubicBezTo>
                <a:pt x="2061119" y="5374788"/>
                <a:pt x="2006435" y="5380735"/>
                <a:pt x="1952625" y="5391150"/>
              </a:cubicBezTo>
              <a:cubicBezTo>
                <a:pt x="1907994" y="5399788"/>
                <a:pt x="1863851" y="5410810"/>
                <a:pt x="1819275" y="5419725"/>
              </a:cubicBezTo>
              <a:cubicBezTo>
                <a:pt x="1768593" y="5429861"/>
                <a:pt x="1716795" y="5434907"/>
                <a:pt x="1666875" y="5448300"/>
              </a:cubicBezTo>
              <a:cubicBezTo>
                <a:pt x="1586382" y="5469896"/>
                <a:pt x="1510472" y="5508156"/>
                <a:pt x="1428750" y="5524500"/>
              </a:cubicBezTo>
              <a:cubicBezTo>
                <a:pt x="1323655" y="5545519"/>
                <a:pt x="1364217" y="5533311"/>
                <a:pt x="1304925" y="5553075"/>
              </a:cubicBezTo>
              <a:cubicBezTo>
                <a:pt x="1308100" y="5502275"/>
                <a:pt x="1303888" y="5450466"/>
                <a:pt x="1314450" y="5400675"/>
              </a:cubicBezTo>
              <a:cubicBezTo>
                <a:pt x="1326327" y="5344683"/>
                <a:pt x="1397198" y="5187555"/>
                <a:pt x="1371600" y="5238750"/>
              </a:cubicBezTo>
              <a:cubicBezTo>
                <a:pt x="1358900" y="5264150"/>
                <a:pt x="1347898" y="5290473"/>
                <a:pt x="1333500" y="5314950"/>
              </a:cubicBezTo>
              <a:cubicBezTo>
                <a:pt x="1278812" y="5407920"/>
                <a:pt x="1291747" y="5375958"/>
                <a:pt x="1247775" y="5438775"/>
              </a:cubicBezTo>
              <a:cubicBezTo>
                <a:pt x="1234645" y="5457532"/>
                <a:pt x="1222375" y="5476875"/>
                <a:pt x="1209675" y="5495925"/>
              </a:cubicBezTo>
              <a:cubicBezTo>
                <a:pt x="1206500" y="5511800"/>
                <a:pt x="1198362" y="5527460"/>
                <a:pt x="1200150" y="5543550"/>
              </a:cubicBezTo>
              <a:cubicBezTo>
                <a:pt x="1206504" y="5600732"/>
                <a:pt x="1286933" y="5616928"/>
                <a:pt x="1323975" y="5629275"/>
              </a:cubicBezTo>
              <a:cubicBezTo>
                <a:pt x="1394061" y="5652637"/>
                <a:pt x="1547288" y="5686670"/>
                <a:pt x="1628775" y="5705475"/>
              </a:cubicBezTo>
              <a:cubicBezTo>
                <a:pt x="1737062" y="5781276"/>
                <a:pt x="1713387" y="5771636"/>
                <a:pt x="1838325" y="5829300"/>
              </a:cubicBezTo>
              <a:cubicBezTo>
                <a:pt x="1841208" y="5830631"/>
                <a:pt x="1844675" y="5829300"/>
                <a:pt x="1847850" y="5829300"/>
              </a:cubicBez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276225</xdr:colOff>
      <xdr:row>0</xdr:row>
      <xdr:rowOff>9525</xdr:rowOff>
    </xdr:from>
    <xdr:to>
      <xdr:col>5</xdr:col>
      <xdr:colOff>161200</xdr:colOff>
      <xdr:row>48</xdr:row>
      <xdr:rowOff>84739</xdr:rowOff>
    </xdr:to>
    <xdr:pic>
      <xdr:nvPicPr>
        <xdr:cNvPr id="2" name="Picture 1">
          <a:extLst>
            <a:ext uri="{FF2B5EF4-FFF2-40B4-BE49-F238E27FC236}">
              <a16:creationId xmlns:a16="http://schemas.microsoft.com/office/drawing/2014/main" id="{63A08F44-B211-426D-A54D-23023F78EA6D}"/>
            </a:ext>
          </a:extLst>
        </xdr:cNvPr>
        <xdr:cNvPicPr>
          <a:picLocks noChangeAspect="1"/>
        </xdr:cNvPicPr>
      </xdr:nvPicPr>
      <xdr:blipFill>
        <a:blip xmlns:r="http://schemas.openxmlformats.org/officeDocument/2006/relationships" r:embed="rId1"/>
        <a:stretch>
          <a:fillRect/>
        </a:stretch>
      </xdr:blipFill>
      <xdr:spPr>
        <a:xfrm>
          <a:off x="1495425" y="9525"/>
          <a:ext cx="5800000" cy="7885714"/>
        </a:xfrm>
        <a:prstGeom prst="rect">
          <a:avLst/>
        </a:prstGeom>
      </xdr:spPr>
    </xdr:pic>
    <xdr:clientData/>
  </xdr:twoCellAnchor>
  <xdr:twoCellAnchor editAs="oneCell">
    <xdr:from>
      <xdr:col>5</xdr:col>
      <xdr:colOff>523875</xdr:colOff>
      <xdr:row>0</xdr:row>
      <xdr:rowOff>28575</xdr:rowOff>
    </xdr:from>
    <xdr:to>
      <xdr:col>9</xdr:col>
      <xdr:colOff>751751</xdr:colOff>
      <xdr:row>44</xdr:row>
      <xdr:rowOff>56253</xdr:rowOff>
    </xdr:to>
    <xdr:pic>
      <xdr:nvPicPr>
        <xdr:cNvPr id="3" name="Picture 2">
          <a:extLst>
            <a:ext uri="{FF2B5EF4-FFF2-40B4-BE49-F238E27FC236}">
              <a16:creationId xmlns:a16="http://schemas.microsoft.com/office/drawing/2014/main" id="{377ACC8A-21D6-4E13-97ED-943C82A9AE93}"/>
            </a:ext>
          </a:extLst>
        </xdr:cNvPr>
        <xdr:cNvPicPr>
          <a:picLocks noChangeAspect="1"/>
        </xdr:cNvPicPr>
      </xdr:nvPicPr>
      <xdr:blipFill>
        <a:blip xmlns:r="http://schemas.openxmlformats.org/officeDocument/2006/relationships" r:embed="rId2"/>
        <a:stretch>
          <a:fillRect/>
        </a:stretch>
      </xdr:blipFill>
      <xdr:spPr>
        <a:xfrm>
          <a:off x="7658100" y="28575"/>
          <a:ext cx="5790476" cy="7171428"/>
        </a:xfrm>
        <a:prstGeom prst="rect">
          <a:avLst/>
        </a:prstGeom>
      </xdr:spPr>
    </xdr:pic>
    <xdr:clientData/>
  </xdr:twoCellAnchor>
  <xdr:twoCellAnchor>
    <xdr:from>
      <xdr:col>8</xdr:col>
      <xdr:colOff>257175</xdr:colOff>
      <xdr:row>69</xdr:row>
      <xdr:rowOff>9525</xdr:rowOff>
    </xdr:from>
    <xdr:to>
      <xdr:col>11</xdr:col>
      <xdr:colOff>476250</xdr:colOff>
      <xdr:row>104</xdr:row>
      <xdr:rowOff>19641</xdr:rowOff>
    </xdr:to>
    <xdr:sp macro="" textlink="">
      <xdr:nvSpPr>
        <xdr:cNvPr id="4" name="Freeform: Shape 3">
          <a:extLst>
            <a:ext uri="{FF2B5EF4-FFF2-40B4-BE49-F238E27FC236}">
              <a16:creationId xmlns:a16="http://schemas.microsoft.com/office/drawing/2014/main" id="{F1A529C5-49B6-4FCC-B6AB-5614051289E8}"/>
            </a:ext>
          </a:extLst>
        </xdr:cNvPr>
        <xdr:cNvSpPr/>
      </xdr:nvSpPr>
      <xdr:spPr>
        <a:xfrm>
          <a:off x="11772900" y="11382375"/>
          <a:ext cx="3476625" cy="5991816"/>
        </a:xfrm>
        <a:custGeom>
          <a:avLst/>
          <a:gdLst>
            <a:gd name="connsiteX0" fmla="*/ 0 w 3476625"/>
            <a:gd name="connsiteY0" fmla="*/ 0 h 5829891"/>
            <a:gd name="connsiteX1" fmla="*/ 762000 w 3476625"/>
            <a:gd name="connsiteY1" fmla="*/ 76200 h 5829891"/>
            <a:gd name="connsiteX2" fmla="*/ 1276350 w 3476625"/>
            <a:gd name="connsiteY2" fmla="*/ 295275 h 5829891"/>
            <a:gd name="connsiteX3" fmla="*/ 1381125 w 3476625"/>
            <a:gd name="connsiteY3" fmla="*/ 371475 h 5829891"/>
            <a:gd name="connsiteX4" fmla="*/ 1514475 w 3476625"/>
            <a:gd name="connsiteY4" fmla="*/ 457200 h 5829891"/>
            <a:gd name="connsiteX5" fmla="*/ 1704975 w 3476625"/>
            <a:gd name="connsiteY5" fmla="*/ 561975 h 5829891"/>
            <a:gd name="connsiteX6" fmla="*/ 1895475 w 3476625"/>
            <a:gd name="connsiteY6" fmla="*/ 714375 h 5829891"/>
            <a:gd name="connsiteX7" fmla="*/ 2419350 w 3476625"/>
            <a:gd name="connsiteY7" fmla="*/ 1190625 h 5829891"/>
            <a:gd name="connsiteX8" fmla="*/ 3057525 w 3476625"/>
            <a:gd name="connsiteY8" fmla="*/ 2066925 h 5829891"/>
            <a:gd name="connsiteX9" fmla="*/ 3143250 w 3476625"/>
            <a:gd name="connsiteY9" fmla="*/ 2228850 h 5829891"/>
            <a:gd name="connsiteX10" fmla="*/ 3190875 w 3476625"/>
            <a:gd name="connsiteY10" fmla="*/ 2447925 h 5829891"/>
            <a:gd name="connsiteX11" fmla="*/ 3267075 w 3476625"/>
            <a:gd name="connsiteY11" fmla="*/ 2800350 h 5829891"/>
            <a:gd name="connsiteX12" fmla="*/ 3333750 w 3476625"/>
            <a:gd name="connsiteY12" fmla="*/ 2943225 h 5829891"/>
            <a:gd name="connsiteX13" fmla="*/ 3352800 w 3476625"/>
            <a:gd name="connsiteY13" fmla="*/ 3019425 h 5829891"/>
            <a:gd name="connsiteX14" fmla="*/ 3409950 w 3476625"/>
            <a:gd name="connsiteY14" fmla="*/ 3181350 h 5829891"/>
            <a:gd name="connsiteX15" fmla="*/ 3448050 w 3476625"/>
            <a:gd name="connsiteY15" fmla="*/ 3448050 h 5829891"/>
            <a:gd name="connsiteX16" fmla="*/ 3467100 w 3476625"/>
            <a:gd name="connsiteY16" fmla="*/ 3752850 h 5829891"/>
            <a:gd name="connsiteX17" fmla="*/ 3476625 w 3476625"/>
            <a:gd name="connsiteY17" fmla="*/ 3867150 h 5829891"/>
            <a:gd name="connsiteX18" fmla="*/ 3467100 w 3476625"/>
            <a:gd name="connsiteY18" fmla="*/ 3971925 h 5829891"/>
            <a:gd name="connsiteX19" fmla="*/ 3457575 w 3476625"/>
            <a:gd name="connsiteY19" fmla="*/ 4095750 h 5829891"/>
            <a:gd name="connsiteX20" fmla="*/ 3448050 w 3476625"/>
            <a:gd name="connsiteY20" fmla="*/ 4171950 h 5829891"/>
            <a:gd name="connsiteX21" fmla="*/ 3409950 w 3476625"/>
            <a:gd name="connsiteY21" fmla="*/ 4276725 h 5829891"/>
            <a:gd name="connsiteX22" fmla="*/ 3371850 w 3476625"/>
            <a:gd name="connsiteY22" fmla="*/ 4410075 h 5829891"/>
            <a:gd name="connsiteX23" fmla="*/ 3219450 w 3476625"/>
            <a:gd name="connsiteY23" fmla="*/ 4695825 h 5829891"/>
            <a:gd name="connsiteX24" fmla="*/ 2781300 w 3476625"/>
            <a:gd name="connsiteY24" fmla="*/ 5057775 h 5829891"/>
            <a:gd name="connsiteX25" fmla="*/ 2457450 w 3476625"/>
            <a:gd name="connsiteY25" fmla="*/ 5257800 h 5829891"/>
            <a:gd name="connsiteX26" fmla="*/ 2114550 w 3476625"/>
            <a:gd name="connsiteY26" fmla="*/ 5362575 h 5829891"/>
            <a:gd name="connsiteX27" fmla="*/ 1952625 w 3476625"/>
            <a:gd name="connsiteY27" fmla="*/ 5391150 h 5829891"/>
            <a:gd name="connsiteX28" fmla="*/ 1819275 w 3476625"/>
            <a:gd name="connsiteY28" fmla="*/ 5419725 h 5829891"/>
            <a:gd name="connsiteX29" fmla="*/ 1666875 w 3476625"/>
            <a:gd name="connsiteY29" fmla="*/ 5448300 h 5829891"/>
            <a:gd name="connsiteX30" fmla="*/ 1428750 w 3476625"/>
            <a:gd name="connsiteY30" fmla="*/ 5524500 h 5829891"/>
            <a:gd name="connsiteX31" fmla="*/ 1304925 w 3476625"/>
            <a:gd name="connsiteY31" fmla="*/ 5553075 h 5829891"/>
            <a:gd name="connsiteX32" fmla="*/ 1314450 w 3476625"/>
            <a:gd name="connsiteY32" fmla="*/ 5400675 h 5829891"/>
            <a:gd name="connsiteX33" fmla="*/ 1371600 w 3476625"/>
            <a:gd name="connsiteY33" fmla="*/ 5238750 h 5829891"/>
            <a:gd name="connsiteX34" fmla="*/ 1333500 w 3476625"/>
            <a:gd name="connsiteY34" fmla="*/ 5314950 h 5829891"/>
            <a:gd name="connsiteX35" fmla="*/ 1247775 w 3476625"/>
            <a:gd name="connsiteY35" fmla="*/ 5438775 h 5829891"/>
            <a:gd name="connsiteX36" fmla="*/ 1209675 w 3476625"/>
            <a:gd name="connsiteY36" fmla="*/ 5495925 h 5829891"/>
            <a:gd name="connsiteX37" fmla="*/ 1200150 w 3476625"/>
            <a:gd name="connsiteY37" fmla="*/ 5543550 h 5829891"/>
            <a:gd name="connsiteX38" fmla="*/ 1323975 w 3476625"/>
            <a:gd name="connsiteY38" fmla="*/ 5629275 h 5829891"/>
            <a:gd name="connsiteX39" fmla="*/ 1628775 w 3476625"/>
            <a:gd name="connsiteY39" fmla="*/ 5705475 h 5829891"/>
            <a:gd name="connsiteX40" fmla="*/ 1838325 w 3476625"/>
            <a:gd name="connsiteY40" fmla="*/ 5829300 h 5829891"/>
            <a:gd name="connsiteX41" fmla="*/ 1847850 w 3476625"/>
            <a:gd name="connsiteY41" fmla="*/ 5829300 h 5829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3476625" h="5829891">
              <a:moveTo>
                <a:pt x="0" y="0"/>
              </a:moveTo>
              <a:cubicBezTo>
                <a:pt x="254000" y="25400"/>
                <a:pt x="510640" y="31711"/>
                <a:pt x="762000" y="76200"/>
              </a:cubicBezTo>
              <a:cubicBezTo>
                <a:pt x="900342" y="100685"/>
                <a:pt x="1144134" y="216772"/>
                <a:pt x="1276350" y="295275"/>
              </a:cubicBezTo>
              <a:cubicBezTo>
                <a:pt x="1313483" y="317322"/>
                <a:pt x="1345414" y="347192"/>
                <a:pt x="1381125" y="371475"/>
              </a:cubicBezTo>
              <a:cubicBezTo>
                <a:pt x="1424822" y="401189"/>
                <a:pt x="1468928" y="430408"/>
                <a:pt x="1514475" y="457200"/>
              </a:cubicBezTo>
              <a:cubicBezTo>
                <a:pt x="1576940" y="493944"/>
                <a:pt x="1644908" y="521430"/>
                <a:pt x="1704975" y="561975"/>
              </a:cubicBezTo>
              <a:cubicBezTo>
                <a:pt x="1772377" y="607471"/>
                <a:pt x="1834427" y="660653"/>
                <a:pt x="1895475" y="714375"/>
              </a:cubicBezTo>
              <a:cubicBezTo>
                <a:pt x="2072643" y="870282"/>
                <a:pt x="2275311" y="1003681"/>
                <a:pt x="2419350" y="1190625"/>
              </a:cubicBezTo>
              <a:cubicBezTo>
                <a:pt x="2740027" y="1606823"/>
                <a:pt x="2829567" y="1689616"/>
                <a:pt x="3057525" y="2066925"/>
              </a:cubicBezTo>
              <a:cubicBezTo>
                <a:pt x="3089106" y="2119198"/>
                <a:pt x="3114675" y="2174875"/>
                <a:pt x="3143250" y="2228850"/>
              </a:cubicBezTo>
              <a:cubicBezTo>
                <a:pt x="3159125" y="2301875"/>
                <a:pt x="3181606" y="2373771"/>
                <a:pt x="3190875" y="2447925"/>
              </a:cubicBezTo>
              <a:cubicBezTo>
                <a:pt x="3211181" y="2610370"/>
                <a:pt x="3205810" y="2630692"/>
                <a:pt x="3267075" y="2800350"/>
              </a:cubicBezTo>
              <a:cubicBezTo>
                <a:pt x="3284925" y="2849781"/>
                <a:pt x="3314599" y="2894283"/>
                <a:pt x="3333750" y="2943225"/>
              </a:cubicBezTo>
              <a:cubicBezTo>
                <a:pt x="3343291" y="2967607"/>
                <a:pt x="3344521" y="2994587"/>
                <a:pt x="3352800" y="3019425"/>
              </a:cubicBezTo>
              <a:cubicBezTo>
                <a:pt x="3379595" y="3099809"/>
                <a:pt x="3394950" y="3106350"/>
                <a:pt x="3409950" y="3181350"/>
              </a:cubicBezTo>
              <a:cubicBezTo>
                <a:pt x="3420492" y="3234062"/>
                <a:pt x="3441675" y="3400234"/>
                <a:pt x="3448050" y="3448050"/>
              </a:cubicBezTo>
              <a:cubicBezTo>
                <a:pt x="3454008" y="3549330"/>
                <a:pt x="3459602" y="3651626"/>
                <a:pt x="3467100" y="3752850"/>
              </a:cubicBezTo>
              <a:cubicBezTo>
                <a:pt x="3469924" y="3790978"/>
                <a:pt x="3473450" y="3829050"/>
                <a:pt x="3476625" y="3867150"/>
              </a:cubicBezTo>
              <a:cubicBezTo>
                <a:pt x="3473450" y="3902075"/>
                <a:pt x="3470012" y="3936977"/>
                <a:pt x="3467100" y="3971925"/>
              </a:cubicBezTo>
              <a:cubicBezTo>
                <a:pt x="3463662" y="4013179"/>
                <a:pt x="3461500" y="4054540"/>
                <a:pt x="3457575" y="4095750"/>
              </a:cubicBezTo>
              <a:cubicBezTo>
                <a:pt x="3455148" y="4121232"/>
                <a:pt x="3454564" y="4147195"/>
                <a:pt x="3448050" y="4171950"/>
              </a:cubicBezTo>
              <a:cubicBezTo>
                <a:pt x="3438592" y="4207889"/>
                <a:pt x="3421276" y="4241331"/>
                <a:pt x="3409950" y="4276725"/>
              </a:cubicBezTo>
              <a:cubicBezTo>
                <a:pt x="3395861" y="4320754"/>
                <a:pt x="3387764" y="4366672"/>
                <a:pt x="3371850" y="4410075"/>
              </a:cubicBezTo>
              <a:cubicBezTo>
                <a:pt x="3341690" y="4492330"/>
                <a:pt x="3280176" y="4628817"/>
                <a:pt x="3219450" y="4695825"/>
              </a:cubicBezTo>
              <a:cubicBezTo>
                <a:pt x="3124857" y="4800203"/>
                <a:pt x="2885371" y="4981890"/>
                <a:pt x="2781300" y="5057775"/>
              </a:cubicBezTo>
              <a:cubicBezTo>
                <a:pt x="2686267" y="5127070"/>
                <a:pt x="2571931" y="5212007"/>
                <a:pt x="2457450" y="5257800"/>
              </a:cubicBezTo>
              <a:cubicBezTo>
                <a:pt x="2385191" y="5286704"/>
                <a:pt x="2190976" y="5345106"/>
                <a:pt x="2114550" y="5362575"/>
              </a:cubicBezTo>
              <a:cubicBezTo>
                <a:pt x="2061119" y="5374788"/>
                <a:pt x="2006435" y="5380735"/>
                <a:pt x="1952625" y="5391150"/>
              </a:cubicBezTo>
              <a:cubicBezTo>
                <a:pt x="1907994" y="5399788"/>
                <a:pt x="1863851" y="5410810"/>
                <a:pt x="1819275" y="5419725"/>
              </a:cubicBezTo>
              <a:cubicBezTo>
                <a:pt x="1768593" y="5429861"/>
                <a:pt x="1716795" y="5434907"/>
                <a:pt x="1666875" y="5448300"/>
              </a:cubicBezTo>
              <a:cubicBezTo>
                <a:pt x="1586382" y="5469896"/>
                <a:pt x="1510472" y="5508156"/>
                <a:pt x="1428750" y="5524500"/>
              </a:cubicBezTo>
              <a:cubicBezTo>
                <a:pt x="1323655" y="5545519"/>
                <a:pt x="1364217" y="5533311"/>
                <a:pt x="1304925" y="5553075"/>
              </a:cubicBezTo>
              <a:cubicBezTo>
                <a:pt x="1308100" y="5502275"/>
                <a:pt x="1303888" y="5450466"/>
                <a:pt x="1314450" y="5400675"/>
              </a:cubicBezTo>
              <a:cubicBezTo>
                <a:pt x="1326327" y="5344683"/>
                <a:pt x="1397198" y="5187555"/>
                <a:pt x="1371600" y="5238750"/>
              </a:cubicBezTo>
              <a:cubicBezTo>
                <a:pt x="1358900" y="5264150"/>
                <a:pt x="1347898" y="5290473"/>
                <a:pt x="1333500" y="5314950"/>
              </a:cubicBezTo>
              <a:cubicBezTo>
                <a:pt x="1278812" y="5407920"/>
                <a:pt x="1291747" y="5375958"/>
                <a:pt x="1247775" y="5438775"/>
              </a:cubicBezTo>
              <a:cubicBezTo>
                <a:pt x="1234645" y="5457532"/>
                <a:pt x="1222375" y="5476875"/>
                <a:pt x="1209675" y="5495925"/>
              </a:cubicBezTo>
              <a:cubicBezTo>
                <a:pt x="1206500" y="5511800"/>
                <a:pt x="1198362" y="5527460"/>
                <a:pt x="1200150" y="5543550"/>
              </a:cubicBezTo>
              <a:cubicBezTo>
                <a:pt x="1206504" y="5600732"/>
                <a:pt x="1286933" y="5616928"/>
                <a:pt x="1323975" y="5629275"/>
              </a:cubicBezTo>
              <a:cubicBezTo>
                <a:pt x="1394061" y="5652637"/>
                <a:pt x="1547288" y="5686670"/>
                <a:pt x="1628775" y="5705475"/>
              </a:cubicBezTo>
              <a:cubicBezTo>
                <a:pt x="1737062" y="5781276"/>
                <a:pt x="1713387" y="5771636"/>
                <a:pt x="1838325" y="5829300"/>
              </a:cubicBezTo>
              <a:cubicBezTo>
                <a:pt x="1841208" y="5830631"/>
                <a:pt x="1844675" y="5829300"/>
                <a:pt x="1847850" y="5829300"/>
              </a:cubicBez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523875</xdr:colOff>
      <xdr:row>50</xdr:row>
      <xdr:rowOff>152400</xdr:rowOff>
    </xdr:from>
    <xdr:to>
      <xdr:col>9</xdr:col>
      <xdr:colOff>561975</xdr:colOff>
      <xdr:row>53</xdr:row>
      <xdr:rowOff>28575</xdr:rowOff>
    </xdr:to>
    <xdr:cxnSp macro="">
      <xdr:nvCxnSpPr>
        <xdr:cNvPr id="6" name="Straight Arrow Connector 5">
          <a:extLst>
            <a:ext uri="{FF2B5EF4-FFF2-40B4-BE49-F238E27FC236}">
              <a16:creationId xmlns:a16="http://schemas.microsoft.com/office/drawing/2014/main" id="{B761CD6C-5A45-3BFC-D961-D60725B7C572}"/>
            </a:ext>
          </a:extLst>
        </xdr:cNvPr>
        <xdr:cNvCxnSpPr/>
      </xdr:nvCxnSpPr>
      <xdr:spPr>
        <a:xfrm>
          <a:off x="13220700" y="8286750"/>
          <a:ext cx="38100" cy="361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47625</xdr:colOff>
      <xdr:row>0</xdr:row>
      <xdr:rowOff>114300</xdr:rowOff>
    </xdr:from>
    <xdr:to>
      <xdr:col>5</xdr:col>
      <xdr:colOff>475457</xdr:colOff>
      <xdr:row>45</xdr:row>
      <xdr:rowOff>161006</xdr:rowOff>
    </xdr:to>
    <xdr:pic>
      <xdr:nvPicPr>
        <xdr:cNvPr id="2" name="Picture 1">
          <a:extLst>
            <a:ext uri="{FF2B5EF4-FFF2-40B4-BE49-F238E27FC236}">
              <a16:creationId xmlns:a16="http://schemas.microsoft.com/office/drawing/2014/main" id="{C8808248-2BF5-47B6-8C17-664B072C8B8D}"/>
            </a:ext>
          </a:extLst>
        </xdr:cNvPr>
        <xdr:cNvPicPr>
          <a:picLocks noChangeAspect="1"/>
        </xdr:cNvPicPr>
      </xdr:nvPicPr>
      <xdr:blipFill>
        <a:blip xmlns:r="http://schemas.openxmlformats.org/officeDocument/2006/relationships" r:embed="rId1"/>
        <a:stretch>
          <a:fillRect/>
        </a:stretch>
      </xdr:blipFill>
      <xdr:spPr>
        <a:xfrm>
          <a:off x="1266825" y="114300"/>
          <a:ext cx="6342857" cy="7352381"/>
        </a:xfrm>
        <a:prstGeom prst="rect">
          <a:avLst/>
        </a:prstGeom>
      </xdr:spPr>
    </xdr:pic>
    <xdr:clientData/>
  </xdr:twoCellAnchor>
  <xdr:twoCellAnchor editAs="oneCell">
    <xdr:from>
      <xdr:col>2</xdr:col>
      <xdr:colOff>361950</xdr:colOff>
      <xdr:row>45</xdr:row>
      <xdr:rowOff>152400</xdr:rowOff>
    </xdr:from>
    <xdr:to>
      <xdr:col>4</xdr:col>
      <xdr:colOff>247058</xdr:colOff>
      <xdr:row>54</xdr:row>
      <xdr:rowOff>9348</xdr:rowOff>
    </xdr:to>
    <xdr:pic>
      <xdr:nvPicPr>
        <xdr:cNvPr id="3" name="Picture 2">
          <a:extLst>
            <a:ext uri="{FF2B5EF4-FFF2-40B4-BE49-F238E27FC236}">
              <a16:creationId xmlns:a16="http://schemas.microsoft.com/office/drawing/2014/main" id="{5086FDB3-02D7-44E8-B1CE-80735F99AB46}"/>
            </a:ext>
          </a:extLst>
        </xdr:cNvPr>
        <xdr:cNvPicPr>
          <a:picLocks noChangeAspect="1"/>
        </xdr:cNvPicPr>
      </xdr:nvPicPr>
      <xdr:blipFill>
        <a:blip xmlns:r="http://schemas.openxmlformats.org/officeDocument/2006/relationships" r:embed="rId2"/>
        <a:stretch>
          <a:fillRect/>
        </a:stretch>
      </xdr:blipFill>
      <xdr:spPr>
        <a:xfrm>
          <a:off x="1581150" y="7458075"/>
          <a:ext cx="4733333" cy="1419048"/>
        </a:xfrm>
        <a:prstGeom prst="rect">
          <a:avLst/>
        </a:prstGeom>
      </xdr:spPr>
    </xdr:pic>
    <xdr:clientData/>
  </xdr:twoCellAnchor>
  <xdr:twoCellAnchor editAs="oneCell">
    <xdr:from>
      <xdr:col>5</xdr:col>
      <xdr:colOff>609600</xdr:colOff>
      <xdr:row>5</xdr:row>
      <xdr:rowOff>66675</xdr:rowOff>
    </xdr:from>
    <xdr:to>
      <xdr:col>10</xdr:col>
      <xdr:colOff>361139</xdr:colOff>
      <xdr:row>40</xdr:row>
      <xdr:rowOff>142155</xdr:rowOff>
    </xdr:to>
    <xdr:pic>
      <xdr:nvPicPr>
        <xdr:cNvPr id="4" name="Picture 3">
          <a:extLst>
            <a:ext uri="{FF2B5EF4-FFF2-40B4-BE49-F238E27FC236}">
              <a16:creationId xmlns:a16="http://schemas.microsoft.com/office/drawing/2014/main" id="{C4C685CA-BA54-42A5-B6CA-E6B84B0FE80A}"/>
            </a:ext>
          </a:extLst>
        </xdr:cNvPr>
        <xdr:cNvPicPr>
          <a:picLocks noChangeAspect="1"/>
        </xdr:cNvPicPr>
      </xdr:nvPicPr>
      <xdr:blipFill>
        <a:blip xmlns:r="http://schemas.openxmlformats.org/officeDocument/2006/relationships" r:embed="rId3"/>
        <a:stretch>
          <a:fillRect/>
        </a:stretch>
      </xdr:blipFill>
      <xdr:spPr>
        <a:xfrm>
          <a:off x="7743825" y="876300"/>
          <a:ext cx="6485714" cy="57619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47625</xdr:colOff>
      <xdr:row>0</xdr:row>
      <xdr:rowOff>114300</xdr:rowOff>
    </xdr:from>
    <xdr:to>
      <xdr:col>5</xdr:col>
      <xdr:colOff>475457</xdr:colOff>
      <xdr:row>45</xdr:row>
      <xdr:rowOff>161006</xdr:rowOff>
    </xdr:to>
    <xdr:pic>
      <xdr:nvPicPr>
        <xdr:cNvPr id="2" name="Picture 1">
          <a:extLst>
            <a:ext uri="{FF2B5EF4-FFF2-40B4-BE49-F238E27FC236}">
              <a16:creationId xmlns:a16="http://schemas.microsoft.com/office/drawing/2014/main" id="{676EBE6D-044E-4A1C-86F9-F906B3AD781B}"/>
            </a:ext>
          </a:extLst>
        </xdr:cNvPr>
        <xdr:cNvPicPr>
          <a:picLocks noChangeAspect="1"/>
        </xdr:cNvPicPr>
      </xdr:nvPicPr>
      <xdr:blipFill>
        <a:blip xmlns:r="http://schemas.openxmlformats.org/officeDocument/2006/relationships" r:embed="rId1"/>
        <a:stretch>
          <a:fillRect/>
        </a:stretch>
      </xdr:blipFill>
      <xdr:spPr>
        <a:xfrm>
          <a:off x="1266825" y="114300"/>
          <a:ext cx="6342857" cy="7352381"/>
        </a:xfrm>
        <a:prstGeom prst="rect">
          <a:avLst/>
        </a:prstGeom>
      </xdr:spPr>
    </xdr:pic>
    <xdr:clientData/>
  </xdr:twoCellAnchor>
  <xdr:twoCellAnchor editAs="oneCell">
    <xdr:from>
      <xdr:col>2</xdr:col>
      <xdr:colOff>361950</xdr:colOff>
      <xdr:row>45</xdr:row>
      <xdr:rowOff>152400</xdr:rowOff>
    </xdr:from>
    <xdr:to>
      <xdr:col>4</xdr:col>
      <xdr:colOff>247058</xdr:colOff>
      <xdr:row>54</xdr:row>
      <xdr:rowOff>9348</xdr:rowOff>
    </xdr:to>
    <xdr:pic>
      <xdr:nvPicPr>
        <xdr:cNvPr id="3" name="Picture 2">
          <a:extLst>
            <a:ext uri="{FF2B5EF4-FFF2-40B4-BE49-F238E27FC236}">
              <a16:creationId xmlns:a16="http://schemas.microsoft.com/office/drawing/2014/main" id="{1E0FF202-79A0-4A7B-B198-2B285B2222FC}"/>
            </a:ext>
          </a:extLst>
        </xdr:cNvPr>
        <xdr:cNvPicPr>
          <a:picLocks noChangeAspect="1"/>
        </xdr:cNvPicPr>
      </xdr:nvPicPr>
      <xdr:blipFill>
        <a:blip xmlns:r="http://schemas.openxmlformats.org/officeDocument/2006/relationships" r:embed="rId2"/>
        <a:stretch>
          <a:fillRect/>
        </a:stretch>
      </xdr:blipFill>
      <xdr:spPr>
        <a:xfrm>
          <a:off x="1581150" y="7458075"/>
          <a:ext cx="4733333" cy="1419048"/>
        </a:xfrm>
        <a:prstGeom prst="rect">
          <a:avLst/>
        </a:prstGeom>
      </xdr:spPr>
    </xdr:pic>
    <xdr:clientData/>
  </xdr:twoCellAnchor>
  <xdr:twoCellAnchor editAs="oneCell">
    <xdr:from>
      <xdr:col>5</xdr:col>
      <xdr:colOff>609600</xdr:colOff>
      <xdr:row>5</xdr:row>
      <xdr:rowOff>66675</xdr:rowOff>
    </xdr:from>
    <xdr:to>
      <xdr:col>10</xdr:col>
      <xdr:colOff>361139</xdr:colOff>
      <xdr:row>40</xdr:row>
      <xdr:rowOff>142155</xdr:rowOff>
    </xdr:to>
    <xdr:pic>
      <xdr:nvPicPr>
        <xdr:cNvPr id="4" name="Picture 3">
          <a:extLst>
            <a:ext uri="{FF2B5EF4-FFF2-40B4-BE49-F238E27FC236}">
              <a16:creationId xmlns:a16="http://schemas.microsoft.com/office/drawing/2014/main" id="{3B769E51-A581-416C-B9BC-B763F9A78202}"/>
            </a:ext>
          </a:extLst>
        </xdr:cNvPr>
        <xdr:cNvPicPr>
          <a:picLocks noChangeAspect="1"/>
        </xdr:cNvPicPr>
      </xdr:nvPicPr>
      <xdr:blipFill>
        <a:blip xmlns:r="http://schemas.openxmlformats.org/officeDocument/2006/relationships" r:embed="rId3"/>
        <a:stretch>
          <a:fillRect/>
        </a:stretch>
      </xdr:blipFill>
      <xdr:spPr>
        <a:xfrm>
          <a:off x="7743825" y="876300"/>
          <a:ext cx="6485714" cy="5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285750</xdr:colOff>
      <xdr:row>4</xdr:row>
      <xdr:rowOff>104775</xdr:rowOff>
    </xdr:from>
    <xdr:to>
      <xdr:col>16</xdr:col>
      <xdr:colOff>513600</xdr:colOff>
      <xdr:row>17</xdr:row>
      <xdr:rowOff>142580</xdr:rowOff>
    </xdr:to>
    <xdr:pic>
      <xdr:nvPicPr>
        <xdr:cNvPr id="2" name="Picture 1">
          <a:extLst>
            <a:ext uri="{FF2B5EF4-FFF2-40B4-BE49-F238E27FC236}">
              <a16:creationId xmlns:a16="http://schemas.microsoft.com/office/drawing/2014/main" id="{1D620C10-3E08-65D1-9B22-92A36A8254DD}"/>
            </a:ext>
          </a:extLst>
        </xdr:cNvPr>
        <xdr:cNvPicPr>
          <a:picLocks noChangeAspect="1"/>
        </xdr:cNvPicPr>
      </xdr:nvPicPr>
      <xdr:blipFill>
        <a:blip xmlns:r="http://schemas.openxmlformats.org/officeDocument/2006/relationships" r:embed="rId1"/>
        <a:stretch>
          <a:fillRect/>
        </a:stretch>
      </xdr:blipFill>
      <xdr:spPr>
        <a:xfrm>
          <a:off x="11372850" y="752475"/>
          <a:ext cx="6000000" cy="23619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47625</xdr:colOff>
      <xdr:row>0</xdr:row>
      <xdr:rowOff>114300</xdr:rowOff>
    </xdr:from>
    <xdr:to>
      <xdr:col>5</xdr:col>
      <xdr:colOff>475457</xdr:colOff>
      <xdr:row>45</xdr:row>
      <xdr:rowOff>161006</xdr:rowOff>
    </xdr:to>
    <xdr:pic>
      <xdr:nvPicPr>
        <xdr:cNvPr id="2" name="Picture 1">
          <a:extLst>
            <a:ext uri="{FF2B5EF4-FFF2-40B4-BE49-F238E27FC236}">
              <a16:creationId xmlns:a16="http://schemas.microsoft.com/office/drawing/2014/main" id="{10FD73E5-1271-4E44-94EF-8E569D1318F8}"/>
            </a:ext>
          </a:extLst>
        </xdr:cNvPr>
        <xdr:cNvPicPr>
          <a:picLocks noChangeAspect="1"/>
        </xdr:cNvPicPr>
      </xdr:nvPicPr>
      <xdr:blipFill>
        <a:blip xmlns:r="http://schemas.openxmlformats.org/officeDocument/2006/relationships" r:embed="rId1"/>
        <a:stretch>
          <a:fillRect/>
        </a:stretch>
      </xdr:blipFill>
      <xdr:spPr>
        <a:xfrm>
          <a:off x="1266825" y="114300"/>
          <a:ext cx="6342857" cy="7352381"/>
        </a:xfrm>
        <a:prstGeom prst="rect">
          <a:avLst/>
        </a:prstGeom>
      </xdr:spPr>
    </xdr:pic>
    <xdr:clientData/>
  </xdr:twoCellAnchor>
  <xdr:twoCellAnchor editAs="oneCell">
    <xdr:from>
      <xdr:col>2</xdr:col>
      <xdr:colOff>361950</xdr:colOff>
      <xdr:row>45</xdr:row>
      <xdr:rowOff>152400</xdr:rowOff>
    </xdr:from>
    <xdr:to>
      <xdr:col>4</xdr:col>
      <xdr:colOff>247058</xdr:colOff>
      <xdr:row>54</xdr:row>
      <xdr:rowOff>9348</xdr:rowOff>
    </xdr:to>
    <xdr:pic>
      <xdr:nvPicPr>
        <xdr:cNvPr id="3" name="Picture 2">
          <a:extLst>
            <a:ext uri="{FF2B5EF4-FFF2-40B4-BE49-F238E27FC236}">
              <a16:creationId xmlns:a16="http://schemas.microsoft.com/office/drawing/2014/main" id="{1F49BE2D-3A91-47FF-9D46-220DD2D4762D}"/>
            </a:ext>
          </a:extLst>
        </xdr:cNvPr>
        <xdr:cNvPicPr>
          <a:picLocks noChangeAspect="1"/>
        </xdr:cNvPicPr>
      </xdr:nvPicPr>
      <xdr:blipFill>
        <a:blip xmlns:r="http://schemas.openxmlformats.org/officeDocument/2006/relationships" r:embed="rId2"/>
        <a:stretch>
          <a:fillRect/>
        </a:stretch>
      </xdr:blipFill>
      <xdr:spPr>
        <a:xfrm>
          <a:off x="1581150" y="7458075"/>
          <a:ext cx="4733333" cy="1419048"/>
        </a:xfrm>
        <a:prstGeom prst="rect">
          <a:avLst/>
        </a:prstGeom>
      </xdr:spPr>
    </xdr:pic>
    <xdr:clientData/>
  </xdr:twoCellAnchor>
  <xdr:twoCellAnchor editAs="oneCell">
    <xdr:from>
      <xdr:col>5</xdr:col>
      <xdr:colOff>609600</xdr:colOff>
      <xdr:row>5</xdr:row>
      <xdr:rowOff>66675</xdr:rowOff>
    </xdr:from>
    <xdr:to>
      <xdr:col>9</xdr:col>
      <xdr:colOff>1532714</xdr:colOff>
      <xdr:row>40</xdr:row>
      <xdr:rowOff>142155</xdr:rowOff>
    </xdr:to>
    <xdr:pic>
      <xdr:nvPicPr>
        <xdr:cNvPr id="4" name="Picture 3">
          <a:extLst>
            <a:ext uri="{FF2B5EF4-FFF2-40B4-BE49-F238E27FC236}">
              <a16:creationId xmlns:a16="http://schemas.microsoft.com/office/drawing/2014/main" id="{16C836AC-E0A3-4181-8511-8EB35617C7EC}"/>
            </a:ext>
          </a:extLst>
        </xdr:cNvPr>
        <xdr:cNvPicPr>
          <a:picLocks noChangeAspect="1"/>
        </xdr:cNvPicPr>
      </xdr:nvPicPr>
      <xdr:blipFill>
        <a:blip xmlns:r="http://schemas.openxmlformats.org/officeDocument/2006/relationships" r:embed="rId3"/>
        <a:stretch>
          <a:fillRect/>
        </a:stretch>
      </xdr:blipFill>
      <xdr:spPr>
        <a:xfrm>
          <a:off x="7743825" y="876300"/>
          <a:ext cx="6485714" cy="576190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24</xdr:col>
      <xdr:colOff>659146</xdr:colOff>
      <xdr:row>59</xdr:row>
      <xdr:rowOff>145035</xdr:rowOff>
    </xdr:from>
    <xdr:ext cx="6257925" cy="4105275"/>
    <xdr:pic>
      <xdr:nvPicPr>
        <xdr:cNvPr id="2" name="image2.png" title="Imagen">
          <a:extLst>
            <a:ext uri="{FF2B5EF4-FFF2-40B4-BE49-F238E27FC236}">
              <a16:creationId xmlns:a16="http://schemas.microsoft.com/office/drawing/2014/main" id="{32F4866B-BCE0-4F2E-93B4-23D739971A8C}"/>
            </a:ext>
          </a:extLst>
        </xdr:cNvPr>
        <xdr:cNvPicPr preferRelativeResize="0"/>
      </xdr:nvPicPr>
      <xdr:blipFill>
        <a:blip xmlns:r="http://schemas.openxmlformats.org/officeDocument/2006/relationships" r:embed="rId1" cstate="print"/>
        <a:stretch>
          <a:fillRect/>
        </a:stretch>
      </xdr:blipFill>
      <xdr:spPr>
        <a:xfrm>
          <a:off x="33939496" y="10994010"/>
          <a:ext cx="6257925" cy="410527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twoCellAnchor editAs="oneCell">
    <xdr:from>
      <xdr:col>1</xdr:col>
      <xdr:colOff>504825</xdr:colOff>
      <xdr:row>1</xdr:row>
      <xdr:rowOff>28575</xdr:rowOff>
    </xdr:from>
    <xdr:to>
      <xdr:col>5</xdr:col>
      <xdr:colOff>761123</xdr:colOff>
      <xdr:row>45</xdr:row>
      <xdr:rowOff>151312</xdr:rowOff>
    </xdr:to>
    <xdr:pic>
      <xdr:nvPicPr>
        <xdr:cNvPr id="5" name="Picture 4">
          <a:extLst>
            <a:ext uri="{FF2B5EF4-FFF2-40B4-BE49-F238E27FC236}">
              <a16:creationId xmlns:a16="http://schemas.microsoft.com/office/drawing/2014/main" id="{3C06DA39-AED4-52C9-C063-36B488636D80}"/>
            </a:ext>
          </a:extLst>
        </xdr:cNvPr>
        <xdr:cNvPicPr>
          <a:picLocks noChangeAspect="1"/>
        </xdr:cNvPicPr>
      </xdr:nvPicPr>
      <xdr:blipFill>
        <a:blip xmlns:r="http://schemas.openxmlformats.org/officeDocument/2006/relationships" r:embed="rId1"/>
        <a:stretch>
          <a:fillRect/>
        </a:stretch>
      </xdr:blipFill>
      <xdr:spPr>
        <a:xfrm>
          <a:off x="1114425" y="190500"/>
          <a:ext cx="7019048" cy="8704762"/>
        </a:xfrm>
        <a:prstGeom prst="rect">
          <a:avLst/>
        </a:prstGeom>
      </xdr:spPr>
    </xdr:pic>
    <xdr:clientData/>
  </xdr:twoCellAnchor>
  <xdr:twoCellAnchor editAs="oneCell">
    <xdr:from>
      <xdr:col>6</xdr:col>
      <xdr:colOff>66675</xdr:colOff>
      <xdr:row>1</xdr:row>
      <xdr:rowOff>57150</xdr:rowOff>
    </xdr:from>
    <xdr:to>
      <xdr:col>10</xdr:col>
      <xdr:colOff>437269</xdr:colOff>
      <xdr:row>36</xdr:row>
      <xdr:rowOff>75307</xdr:rowOff>
    </xdr:to>
    <xdr:pic>
      <xdr:nvPicPr>
        <xdr:cNvPr id="6" name="Picture 5">
          <a:extLst>
            <a:ext uri="{FF2B5EF4-FFF2-40B4-BE49-F238E27FC236}">
              <a16:creationId xmlns:a16="http://schemas.microsoft.com/office/drawing/2014/main" id="{61A4EF7A-8247-4F4A-E99E-E2962AEAB5F7}"/>
            </a:ext>
          </a:extLst>
        </xdr:cNvPr>
        <xdr:cNvPicPr>
          <a:picLocks noChangeAspect="1"/>
        </xdr:cNvPicPr>
      </xdr:nvPicPr>
      <xdr:blipFill>
        <a:blip xmlns:r="http://schemas.openxmlformats.org/officeDocument/2006/relationships" r:embed="rId2"/>
        <a:stretch>
          <a:fillRect/>
        </a:stretch>
      </xdr:blipFill>
      <xdr:spPr>
        <a:xfrm>
          <a:off x="8334375" y="219075"/>
          <a:ext cx="7047619" cy="7142857"/>
        </a:xfrm>
        <a:prstGeom prst="rect">
          <a:avLst/>
        </a:prstGeom>
      </xdr:spPr>
    </xdr:pic>
    <xdr:clientData/>
  </xdr:twoCellAnchor>
  <xdr:twoCellAnchor editAs="oneCell">
    <xdr:from>
      <xdr:col>6</xdr:col>
      <xdr:colOff>57150</xdr:colOff>
      <xdr:row>46</xdr:row>
      <xdr:rowOff>28575</xdr:rowOff>
    </xdr:from>
    <xdr:to>
      <xdr:col>10</xdr:col>
      <xdr:colOff>142995</xdr:colOff>
      <xdr:row>57</xdr:row>
      <xdr:rowOff>85725</xdr:rowOff>
    </xdr:to>
    <xdr:pic>
      <xdr:nvPicPr>
        <xdr:cNvPr id="7" name="Picture 6">
          <a:extLst>
            <a:ext uri="{FF2B5EF4-FFF2-40B4-BE49-F238E27FC236}">
              <a16:creationId xmlns:a16="http://schemas.microsoft.com/office/drawing/2014/main" id="{061D22BF-20C3-452C-63A7-3CE4C42BC59E}"/>
            </a:ext>
          </a:extLst>
        </xdr:cNvPr>
        <xdr:cNvPicPr>
          <a:picLocks noChangeAspect="1"/>
        </xdr:cNvPicPr>
      </xdr:nvPicPr>
      <xdr:blipFill>
        <a:blip xmlns:r="http://schemas.openxmlformats.org/officeDocument/2006/relationships" r:embed="rId3"/>
        <a:stretch>
          <a:fillRect/>
        </a:stretch>
      </xdr:blipFill>
      <xdr:spPr>
        <a:xfrm>
          <a:off x="8324850" y="7477125"/>
          <a:ext cx="6762870" cy="1876425"/>
        </a:xfrm>
        <a:prstGeom prst="rect">
          <a:avLst/>
        </a:prstGeom>
      </xdr:spPr>
    </xdr:pic>
    <xdr:clientData/>
  </xdr:twoCellAnchor>
  <xdr:twoCellAnchor editAs="oneCell">
    <xdr:from>
      <xdr:col>3</xdr:col>
      <xdr:colOff>400051</xdr:colOff>
      <xdr:row>159</xdr:row>
      <xdr:rowOff>142875</xdr:rowOff>
    </xdr:from>
    <xdr:to>
      <xdr:col>4</xdr:col>
      <xdr:colOff>576994</xdr:colOff>
      <xdr:row>169</xdr:row>
      <xdr:rowOff>142875</xdr:rowOff>
    </xdr:to>
    <xdr:pic>
      <xdr:nvPicPr>
        <xdr:cNvPr id="8" name="Imagen 1">
          <a:extLst>
            <a:ext uri="{FF2B5EF4-FFF2-40B4-BE49-F238E27FC236}">
              <a16:creationId xmlns:a16="http://schemas.microsoft.com/office/drawing/2014/main" id="{078D95F3-8662-4EE6-8229-39C9CC01A3C0}"/>
            </a:ext>
          </a:extLst>
        </xdr:cNvPr>
        <xdr:cNvPicPr>
          <a:picLocks noChangeAspect="1"/>
        </xdr:cNvPicPr>
      </xdr:nvPicPr>
      <xdr:blipFill>
        <a:blip xmlns:r="http://schemas.openxmlformats.org/officeDocument/2006/relationships" r:embed="rId4"/>
        <a:stretch>
          <a:fillRect/>
        </a:stretch>
      </xdr:blipFill>
      <xdr:spPr>
        <a:xfrm>
          <a:off x="4248151" y="27117675"/>
          <a:ext cx="2662968" cy="17049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24</xdr:col>
      <xdr:colOff>659146</xdr:colOff>
      <xdr:row>59</xdr:row>
      <xdr:rowOff>145035</xdr:rowOff>
    </xdr:from>
    <xdr:ext cx="6257925" cy="4105275"/>
    <xdr:pic>
      <xdr:nvPicPr>
        <xdr:cNvPr id="2" name="image2.png" title="Imagen">
          <a:extLst>
            <a:ext uri="{FF2B5EF4-FFF2-40B4-BE49-F238E27FC236}">
              <a16:creationId xmlns:a16="http://schemas.microsoft.com/office/drawing/2014/main" id="{2A24540A-8E35-4493-AD74-A4FF55E769B4}"/>
            </a:ext>
          </a:extLst>
        </xdr:cNvPr>
        <xdr:cNvPicPr preferRelativeResize="0"/>
      </xdr:nvPicPr>
      <xdr:blipFill>
        <a:blip xmlns:r="http://schemas.openxmlformats.org/officeDocument/2006/relationships" r:embed="rId1" cstate="print"/>
        <a:stretch>
          <a:fillRect/>
        </a:stretch>
      </xdr:blipFill>
      <xdr:spPr>
        <a:xfrm>
          <a:off x="33939496" y="11375010"/>
          <a:ext cx="6257925" cy="4105275"/>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twoCellAnchor editAs="oneCell">
    <xdr:from>
      <xdr:col>1</xdr:col>
      <xdr:colOff>504825</xdr:colOff>
      <xdr:row>1</xdr:row>
      <xdr:rowOff>28575</xdr:rowOff>
    </xdr:from>
    <xdr:to>
      <xdr:col>5</xdr:col>
      <xdr:colOff>761123</xdr:colOff>
      <xdr:row>54</xdr:row>
      <xdr:rowOff>151312</xdr:rowOff>
    </xdr:to>
    <xdr:pic>
      <xdr:nvPicPr>
        <xdr:cNvPr id="2" name="Picture 1">
          <a:extLst>
            <a:ext uri="{FF2B5EF4-FFF2-40B4-BE49-F238E27FC236}">
              <a16:creationId xmlns:a16="http://schemas.microsoft.com/office/drawing/2014/main" id="{5F238719-37D6-4313-ACBB-E16B49C2DF0B}"/>
            </a:ext>
          </a:extLst>
        </xdr:cNvPr>
        <xdr:cNvPicPr>
          <a:picLocks noChangeAspect="1"/>
        </xdr:cNvPicPr>
      </xdr:nvPicPr>
      <xdr:blipFill>
        <a:blip xmlns:r="http://schemas.openxmlformats.org/officeDocument/2006/relationships" r:embed="rId1"/>
        <a:stretch>
          <a:fillRect/>
        </a:stretch>
      </xdr:blipFill>
      <xdr:spPr>
        <a:xfrm>
          <a:off x="1381125" y="190500"/>
          <a:ext cx="7019048" cy="8704762"/>
        </a:xfrm>
        <a:prstGeom prst="rect">
          <a:avLst/>
        </a:prstGeom>
      </xdr:spPr>
    </xdr:pic>
    <xdr:clientData/>
  </xdr:twoCellAnchor>
  <xdr:twoCellAnchor editAs="oneCell">
    <xdr:from>
      <xdr:col>6</xdr:col>
      <xdr:colOff>66675</xdr:colOff>
      <xdr:row>1</xdr:row>
      <xdr:rowOff>57150</xdr:rowOff>
    </xdr:from>
    <xdr:to>
      <xdr:col>10</xdr:col>
      <xdr:colOff>1027819</xdr:colOff>
      <xdr:row>45</xdr:row>
      <xdr:rowOff>75307</xdr:rowOff>
    </xdr:to>
    <xdr:pic>
      <xdr:nvPicPr>
        <xdr:cNvPr id="3" name="Picture 2">
          <a:extLst>
            <a:ext uri="{FF2B5EF4-FFF2-40B4-BE49-F238E27FC236}">
              <a16:creationId xmlns:a16="http://schemas.microsoft.com/office/drawing/2014/main" id="{4A90858A-19B4-4FA5-ACC8-CBEFC62A3FFE}"/>
            </a:ext>
          </a:extLst>
        </xdr:cNvPr>
        <xdr:cNvPicPr>
          <a:picLocks noChangeAspect="1"/>
        </xdr:cNvPicPr>
      </xdr:nvPicPr>
      <xdr:blipFill>
        <a:blip xmlns:r="http://schemas.openxmlformats.org/officeDocument/2006/relationships" r:embed="rId2"/>
        <a:stretch>
          <a:fillRect/>
        </a:stretch>
      </xdr:blipFill>
      <xdr:spPr>
        <a:xfrm>
          <a:off x="9248775" y="219075"/>
          <a:ext cx="7047619" cy="7142857"/>
        </a:xfrm>
        <a:prstGeom prst="rect">
          <a:avLst/>
        </a:prstGeom>
      </xdr:spPr>
    </xdr:pic>
    <xdr:clientData/>
  </xdr:twoCellAnchor>
  <xdr:twoCellAnchor editAs="oneCell">
    <xdr:from>
      <xdr:col>6</xdr:col>
      <xdr:colOff>57150</xdr:colOff>
      <xdr:row>46</xdr:row>
      <xdr:rowOff>28575</xdr:rowOff>
    </xdr:from>
    <xdr:to>
      <xdr:col>10</xdr:col>
      <xdr:colOff>733545</xdr:colOff>
      <xdr:row>57</xdr:row>
      <xdr:rowOff>85725</xdr:rowOff>
    </xdr:to>
    <xdr:pic>
      <xdr:nvPicPr>
        <xdr:cNvPr id="4" name="Picture 3">
          <a:extLst>
            <a:ext uri="{FF2B5EF4-FFF2-40B4-BE49-F238E27FC236}">
              <a16:creationId xmlns:a16="http://schemas.microsoft.com/office/drawing/2014/main" id="{333A7729-70F6-4F9F-816D-D49C0670E5E1}"/>
            </a:ext>
          </a:extLst>
        </xdr:cNvPr>
        <xdr:cNvPicPr>
          <a:picLocks noChangeAspect="1"/>
        </xdr:cNvPicPr>
      </xdr:nvPicPr>
      <xdr:blipFill>
        <a:blip xmlns:r="http://schemas.openxmlformats.org/officeDocument/2006/relationships" r:embed="rId3"/>
        <a:stretch>
          <a:fillRect/>
        </a:stretch>
      </xdr:blipFill>
      <xdr:spPr>
        <a:xfrm>
          <a:off x="9239250" y="7477125"/>
          <a:ext cx="6762870" cy="1876425"/>
        </a:xfrm>
        <a:prstGeom prst="rect">
          <a:avLst/>
        </a:prstGeom>
      </xdr:spPr>
    </xdr:pic>
    <xdr:clientData/>
  </xdr:twoCellAnchor>
  <xdr:twoCellAnchor editAs="oneCell">
    <xdr:from>
      <xdr:col>3</xdr:col>
      <xdr:colOff>400051</xdr:colOff>
      <xdr:row>158</xdr:row>
      <xdr:rowOff>142875</xdr:rowOff>
    </xdr:from>
    <xdr:to>
      <xdr:col>4</xdr:col>
      <xdr:colOff>576994</xdr:colOff>
      <xdr:row>168</xdr:row>
      <xdr:rowOff>142875</xdr:rowOff>
    </xdr:to>
    <xdr:pic>
      <xdr:nvPicPr>
        <xdr:cNvPr id="5" name="Imagen 1">
          <a:extLst>
            <a:ext uri="{FF2B5EF4-FFF2-40B4-BE49-F238E27FC236}">
              <a16:creationId xmlns:a16="http://schemas.microsoft.com/office/drawing/2014/main" id="{9E1773D2-156A-413C-8D58-4C6A5230BFD2}"/>
            </a:ext>
          </a:extLst>
        </xdr:cNvPr>
        <xdr:cNvPicPr>
          <a:picLocks noChangeAspect="1"/>
        </xdr:cNvPicPr>
      </xdr:nvPicPr>
      <xdr:blipFill>
        <a:blip xmlns:r="http://schemas.openxmlformats.org/officeDocument/2006/relationships" r:embed="rId4"/>
        <a:stretch>
          <a:fillRect/>
        </a:stretch>
      </xdr:blipFill>
      <xdr:spPr>
        <a:xfrm>
          <a:off x="4248151" y="27117675"/>
          <a:ext cx="2662968" cy="17049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24</xdr:col>
      <xdr:colOff>659146</xdr:colOff>
      <xdr:row>59</xdr:row>
      <xdr:rowOff>145035</xdr:rowOff>
    </xdr:from>
    <xdr:ext cx="6257925" cy="4105275"/>
    <xdr:pic>
      <xdr:nvPicPr>
        <xdr:cNvPr id="2" name="image2.png" title="Imagen">
          <a:extLst>
            <a:ext uri="{FF2B5EF4-FFF2-40B4-BE49-F238E27FC236}">
              <a16:creationId xmlns:a16="http://schemas.microsoft.com/office/drawing/2014/main" id="{CD509165-E070-4957-BF34-37DD9DC5EDD2}"/>
            </a:ext>
          </a:extLst>
        </xdr:cNvPr>
        <xdr:cNvPicPr preferRelativeResize="0"/>
      </xdr:nvPicPr>
      <xdr:blipFill>
        <a:blip xmlns:r="http://schemas.openxmlformats.org/officeDocument/2006/relationships" r:embed="rId1" cstate="print"/>
        <a:stretch>
          <a:fillRect/>
        </a:stretch>
      </xdr:blipFill>
      <xdr:spPr>
        <a:xfrm>
          <a:off x="36568396" y="11375010"/>
          <a:ext cx="6257925" cy="410527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twoCellAnchor editAs="oneCell">
    <xdr:from>
      <xdr:col>6</xdr:col>
      <xdr:colOff>1485901</xdr:colOff>
      <xdr:row>189</xdr:row>
      <xdr:rowOff>171450</xdr:rowOff>
    </xdr:from>
    <xdr:to>
      <xdr:col>8</xdr:col>
      <xdr:colOff>310294</xdr:colOff>
      <xdr:row>199</xdr:row>
      <xdr:rowOff>85725</xdr:rowOff>
    </xdr:to>
    <xdr:pic>
      <xdr:nvPicPr>
        <xdr:cNvPr id="2" name="Imagen 1">
          <a:extLst>
            <a:ext uri="{FF2B5EF4-FFF2-40B4-BE49-F238E27FC236}">
              <a16:creationId xmlns:a16="http://schemas.microsoft.com/office/drawing/2014/main" id="{BDD0D3BF-740D-4DCE-A8B6-CB6D0135D2A3}"/>
            </a:ext>
          </a:extLst>
        </xdr:cNvPr>
        <xdr:cNvPicPr>
          <a:picLocks noChangeAspect="1"/>
        </xdr:cNvPicPr>
      </xdr:nvPicPr>
      <xdr:blipFill>
        <a:blip xmlns:r="http://schemas.openxmlformats.org/officeDocument/2006/relationships" r:embed="rId1"/>
        <a:stretch>
          <a:fillRect/>
        </a:stretch>
      </xdr:blipFill>
      <xdr:spPr>
        <a:xfrm>
          <a:off x="11563351" y="33394650"/>
          <a:ext cx="2662968" cy="1704975"/>
        </a:xfrm>
        <a:prstGeom prst="rect">
          <a:avLst/>
        </a:prstGeom>
      </xdr:spPr>
    </xdr:pic>
    <xdr:clientData/>
  </xdr:twoCellAnchor>
  <xdr:twoCellAnchor editAs="oneCell">
    <xdr:from>
      <xdr:col>2</xdr:col>
      <xdr:colOff>0</xdr:colOff>
      <xdr:row>0</xdr:row>
      <xdr:rowOff>0</xdr:rowOff>
    </xdr:from>
    <xdr:to>
      <xdr:col>5</xdr:col>
      <xdr:colOff>932564</xdr:colOff>
      <xdr:row>42</xdr:row>
      <xdr:rowOff>132483</xdr:rowOff>
    </xdr:to>
    <xdr:pic>
      <xdr:nvPicPr>
        <xdr:cNvPr id="3" name="Picture 2">
          <a:extLst>
            <a:ext uri="{FF2B5EF4-FFF2-40B4-BE49-F238E27FC236}">
              <a16:creationId xmlns:a16="http://schemas.microsoft.com/office/drawing/2014/main" id="{2BDF9327-88C7-4E9C-2C22-10C50901BC2A}"/>
            </a:ext>
          </a:extLst>
        </xdr:cNvPr>
        <xdr:cNvPicPr>
          <a:picLocks noChangeAspect="1"/>
        </xdr:cNvPicPr>
      </xdr:nvPicPr>
      <xdr:blipFill>
        <a:blip xmlns:r="http://schemas.openxmlformats.org/officeDocument/2006/relationships" r:embed="rId2"/>
        <a:stretch>
          <a:fillRect/>
        </a:stretch>
      </xdr:blipFill>
      <xdr:spPr>
        <a:xfrm>
          <a:off x="1485900" y="0"/>
          <a:ext cx="7085714" cy="6933333"/>
        </a:xfrm>
        <a:prstGeom prst="rect">
          <a:avLst/>
        </a:prstGeom>
      </xdr:spPr>
    </xdr:pic>
    <xdr:clientData/>
  </xdr:twoCellAnchor>
  <xdr:twoCellAnchor editAs="oneCell">
    <xdr:from>
      <xdr:col>2</xdr:col>
      <xdr:colOff>66675</xdr:colOff>
      <xdr:row>40</xdr:row>
      <xdr:rowOff>104775</xdr:rowOff>
    </xdr:from>
    <xdr:to>
      <xdr:col>5</xdr:col>
      <xdr:colOff>142096</xdr:colOff>
      <xdr:row>56</xdr:row>
      <xdr:rowOff>75877</xdr:rowOff>
    </xdr:to>
    <xdr:pic>
      <xdr:nvPicPr>
        <xdr:cNvPr id="4" name="Picture 3">
          <a:extLst>
            <a:ext uri="{FF2B5EF4-FFF2-40B4-BE49-F238E27FC236}">
              <a16:creationId xmlns:a16="http://schemas.microsoft.com/office/drawing/2014/main" id="{28E4A1BA-0647-4846-0EDE-700E090B5219}"/>
            </a:ext>
          </a:extLst>
        </xdr:cNvPr>
        <xdr:cNvPicPr>
          <a:picLocks noChangeAspect="1"/>
        </xdr:cNvPicPr>
      </xdr:nvPicPr>
      <xdr:blipFill>
        <a:blip xmlns:r="http://schemas.openxmlformats.org/officeDocument/2006/relationships" r:embed="rId3"/>
        <a:stretch>
          <a:fillRect/>
        </a:stretch>
      </xdr:blipFill>
      <xdr:spPr>
        <a:xfrm>
          <a:off x="1552575" y="6581775"/>
          <a:ext cx="6228571" cy="2580952"/>
        </a:xfrm>
        <a:prstGeom prst="rect">
          <a:avLst/>
        </a:prstGeom>
      </xdr:spPr>
    </xdr:pic>
    <xdr:clientData/>
  </xdr:twoCellAnchor>
  <xdr:twoCellAnchor editAs="oneCell">
    <xdr:from>
      <xdr:col>5</xdr:col>
      <xdr:colOff>1323975</xdr:colOff>
      <xdr:row>0</xdr:row>
      <xdr:rowOff>123825</xdr:rowOff>
    </xdr:from>
    <xdr:to>
      <xdr:col>9</xdr:col>
      <xdr:colOff>1437420</xdr:colOff>
      <xdr:row>38</xdr:row>
      <xdr:rowOff>18294</xdr:rowOff>
    </xdr:to>
    <xdr:pic>
      <xdr:nvPicPr>
        <xdr:cNvPr id="5" name="Picture 4">
          <a:extLst>
            <a:ext uri="{FF2B5EF4-FFF2-40B4-BE49-F238E27FC236}">
              <a16:creationId xmlns:a16="http://schemas.microsoft.com/office/drawing/2014/main" id="{8045DBB6-5411-7EB6-C3D1-3989847DA75F}"/>
            </a:ext>
          </a:extLst>
        </xdr:cNvPr>
        <xdr:cNvPicPr>
          <a:picLocks noChangeAspect="1"/>
        </xdr:cNvPicPr>
      </xdr:nvPicPr>
      <xdr:blipFill>
        <a:blip xmlns:r="http://schemas.openxmlformats.org/officeDocument/2006/relationships" r:embed="rId4"/>
        <a:stretch>
          <a:fillRect/>
        </a:stretch>
      </xdr:blipFill>
      <xdr:spPr>
        <a:xfrm>
          <a:off x="8963025" y="123825"/>
          <a:ext cx="6838095" cy="6047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24</xdr:col>
      <xdr:colOff>659146</xdr:colOff>
      <xdr:row>62</xdr:row>
      <xdr:rowOff>145035</xdr:rowOff>
    </xdr:from>
    <xdr:ext cx="6257925" cy="4105275"/>
    <xdr:pic>
      <xdr:nvPicPr>
        <xdr:cNvPr id="2" name="image2.png" title="Imagen">
          <a:extLst>
            <a:ext uri="{FF2B5EF4-FFF2-40B4-BE49-F238E27FC236}">
              <a16:creationId xmlns:a16="http://schemas.microsoft.com/office/drawing/2014/main" id="{9F058930-1931-4001-840A-C98B63738209}"/>
            </a:ext>
          </a:extLst>
        </xdr:cNvPr>
        <xdr:cNvPicPr preferRelativeResize="0"/>
      </xdr:nvPicPr>
      <xdr:blipFill>
        <a:blip xmlns:r="http://schemas.openxmlformats.org/officeDocument/2006/relationships" r:embed="rId1" cstate="print"/>
        <a:stretch>
          <a:fillRect/>
        </a:stretch>
      </xdr:blipFill>
      <xdr:spPr>
        <a:xfrm>
          <a:off x="33939496" y="11375010"/>
          <a:ext cx="6257925" cy="4105275"/>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twoCellAnchor editAs="oneCell">
    <xdr:from>
      <xdr:col>3</xdr:col>
      <xdr:colOff>400051</xdr:colOff>
      <xdr:row>162</xdr:row>
      <xdr:rowOff>142875</xdr:rowOff>
    </xdr:from>
    <xdr:to>
      <xdr:col>3</xdr:col>
      <xdr:colOff>3063019</xdr:colOff>
      <xdr:row>172</xdr:row>
      <xdr:rowOff>142875</xdr:rowOff>
    </xdr:to>
    <xdr:pic>
      <xdr:nvPicPr>
        <xdr:cNvPr id="5" name="Imagen 1">
          <a:extLst>
            <a:ext uri="{FF2B5EF4-FFF2-40B4-BE49-F238E27FC236}">
              <a16:creationId xmlns:a16="http://schemas.microsoft.com/office/drawing/2014/main" id="{ED970552-A7B8-4027-8C47-4B3B3F038350}"/>
            </a:ext>
          </a:extLst>
        </xdr:cNvPr>
        <xdr:cNvPicPr>
          <a:picLocks noChangeAspect="1"/>
        </xdr:cNvPicPr>
      </xdr:nvPicPr>
      <xdr:blipFill>
        <a:blip xmlns:r="http://schemas.openxmlformats.org/officeDocument/2006/relationships" r:embed="rId1"/>
        <a:stretch>
          <a:fillRect/>
        </a:stretch>
      </xdr:blipFill>
      <xdr:spPr>
        <a:xfrm>
          <a:off x="4248151" y="27632025"/>
          <a:ext cx="2662968" cy="1704975"/>
        </a:xfrm>
        <a:prstGeom prst="rect">
          <a:avLst/>
        </a:prstGeom>
      </xdr:spPr>
    </xdr:pic>
    <xdr:clientData/>
  </xdr:twoCellAnchor>
  <xdr:twoCellAnchor editAs="oneCell">
    <xdr:from>
      <xdr:col>2</xdr:col>
      <xdr:colOff>0</xdr:colOff>
      <xdr:row>1</xdr:row>
      <xdr:rowOff>0</xdr:rowOff>
    </xdr:from>
    <xdr:to>
      <xdr:col>4</xdr:col>
      <xdr:colOff>827844</xdr:colOff>
      <xdr:row>43</xdr:row>
      <xdr:rowOff>151517</xdr:rowOff>
    </xdr:to>
    <xdr:pic>
      <xdr:nvPicPr>
        <xdr:cNvPr id="6" name="Picture 5">
          <a:extLst>
            <a:ext uri="{FF2B5EF4-FFF2-40B4-BE49-F238E27FC236}">
              <a16:creationId xmlns:a16="http://schemas.microsoft.com/office/drawing/2014/main" id="{02FD6E9B-9937-0F0A-E15B-84249F5CB48C}"/>
            </a:ext>
          </a:extLst>
        </xdr:cNvPr>
        <xdr:cNvPicPr>
          <a:picLocks noChangeAspect="1"/>
        </xdr:cNvPicPr>
      </xdr:nvPicPr>
      <xdr:blipFill>
        <a:blip xmlns:r="http://schemas.openxmlformats.org/officeDocument/2006/relationships" r:embed="rId2"/>
        <a:stretch>
          <a:fillRect/>
        </a:stretch>
      </xdr:blipFill>
      <xdr:spPr>
        <a:xfrm>
          <a:off x="1485900" y="161925"/>
          <a:ext cx="6647619" cy="7066667"/>
        </a:xfrm>
        <a:prstGeom prst="rect">
          <a:avLst/>
        </a:prstGeom>
      </xdr:spPr>
    </xdr:pic>
    <xdr:clientData/>
  </xdr:twoCellAnchor>
  <xdr:twoCellAnchor editAs="oneCell">
    <xdr:from>
      <xdr:col>1</xdr:col>
      <xdr:colOff>523875</xdr:colOff>
      <xdr:row>45</xdr:row>
      <xdr:rowOff>66675</xdr:rowOff>
    </xdr:from>
    <xdr:to>
      <xdr:col>4</xdr:col>
      <xdr:colOff>103963</xdr:colOff>
      <xdr:row>57</xdr:row>
      <xdr:rowOff>180713</xdr:rowOff>
    </xdr:to>
    <xdr:pic>
      <xdr:nvPicPr>
        <xdr:cNvPr id="7" name="Picture 6">
          <a:extLst>
            <a:ext uri="{FF2B5EF4-FFF2-40B4-BE49-F238E27FC236}">
              <a16:creationId xmlns:a16="http://schemas.microsoft.com/office/drawing/2014/main" id="{E7303CDB-5B28-8AD8-3F2C-BF70AD413C94}"/>
            </a:ext>
          </a:extLst>
        </xdr:cNvPr>
        <xdr:cNvPicPr>
          <a:picLocks noChangeAspect="1"/>
        </xdr:cNvPicPr>
      </xdr:nvPicPr>
      <xdr:blipFill>
        <a:blip xmlns:r="http://schemas.openxmlformats.org/officeDocument/2006/relationships" r:embed="rId3"/>
        <a:stretch>
          <a:fillRect/>
        </a:stretch>
      </xdr:blipFill>
      <xdr:spPr>
        <a:xfrm>
          <a:off x="1400175" y="7353300"/>
          <a:ext cx="6495238" cy="2095238"/>
        </a:xfrm>
        <a:prstGeom prst="rect">
          <a:avLst/>
        </a:prstGeom>
      </xdr:spPr>
    </xdr:pic>
    <xdr:clientData/>
  </xdr:twoCellAnchor>
  <xdr:twoCellAnchor editAs="oneCell">
    <xdr:from>
      <xdr:col>5</xdr:col>
      <xdr:colOff>1314450</xdr:colOff>
      <xdr:row>0</xdr:row>
      <xdr:rowOff>142875</xdr:rowOff>
    </xdr:from>
    <xdr:to>
      <xdr:col>9</xdr:col>
      <xdr:colOff>913558</xdr:colOff>
      <xdr:row>40</xdr:row>
      <xdr:rowOff>18246</xdr:rowOff>
    </xdr:to>
    <xdr:pic>
      <xdr:nvPicPr>
        <xdr:cNvPr id="8" name="Picture 7">
          <a:extLst>
            <a:ext uri="{FF2B5EF4-FFF2-40B4-BE49-F238E27FC236}">
              <a16:creationId xmlns:a16="http://schemas.microsoft.com/office/drawing/2014/main" id="{37E99042-2DA3-A174-9274-A924C74B3ECF}"/>
            </a:ext>
          </a:extLst>
        </xdr:cNvPr>
        <xdr:cNvPicPr>
          <a:picLocks noChangeAspect="1"/>
        </xdr:cNvPicPr>
      </xdr:nvPicPr>
      <xdr:blipFill>
        <a:blip xmlns:r="http://schemas.openxmlformats.org/officeDocument/2006/relationships" r:embed="rId4"/>
        <a:stretch>
          <a:fillRect/>
        </a:stretch>
      </xdr:blipFill>
      <xdr:spPr>
        <a:xfrm>
          <a:off x="10410825" y="142875"/>
          <a:ext cx="6733333" cy="6428571"/>
        </a:xfrm>
        <a:prstGeom prst="rect">
          <a:avLst/>
        </a:prstGeom>
      </xdr:spPr>
    </xdr:pic>
    <xdr:clientData/>
  </xdr:twoCellAnchor>
  <xdr:twoCellAnchor editAs="oneCell">
    <xdr:from>
      <xdr:col>5</xdr:col>
      <xdr:colOff>1038225</xdr:colOff>
      <xdr:row>40</xdr:row>
      <xdr:rowOff>66675</xdr:rowOff>
    </xdr:from>
    <xdr:to>
      <xdr:col>9</xdr:col>
      <xdr:colOff>484952</xdr:colOff>
      <xdr:row>58</xdr:row>
      <xdr:rowOff>28204</xdr:rowOff>
    </xdr:to>
    <xdr:pic>
      <xdr:nvPicPr>
        <xdr:cNvPr id="9" name="Picture 8">
          <a:extLst>
            <a:ext uri="{FF2B5EF4-FFF2-40B4-BE49-F238E27FC236}">
              <a16:creationId xmlns:a16="http://schemas.microsoft.com/office/drawing/2014/main" id="{CD32801C-AC99-482A-4734-202674C5E02A}"/>
            </a:ext>
          </a:extLst>
        </xdr:cNvPr>
        <xdr:cNvPicPr>
          <a:picLocks noChangeAspect="1"/>
        </xdr:cNvPicPr>
      </xdr:nvPicPr>
      <xdr:blipFill>
        <a:blip xmlns:r="http://schemas.openxmlformats.org/officeDocument/2006/relationships" r:embed="rId5"/>
        <a:stretch>
          <a:fillRect/>
        </a:stretch>
      </xdr:blipFill>
      <xdr:spPr>
        <a:xfrm>
          <a:off x="10134600" y="6543675"/>
          <a:ext cx="6580952" cy="2971429"/>
        </a:xfrm>
        <a:prstGeom prst="rect">
          <a:avLst/>
        </a:prstGeom>
      </xdr:spPr>
    </xdr:pic>
    <xdr:clientData/>
  </xdr:twoCellAnchor>
  <xdr:twoCellAnchor editAs="oneCell">
    <xdr:from>
      <xdr:col>13</xdr:col>
      <xdr:colOff>0</xdr:colOff>
      <xdr:row>181</xdr:row>
      <xdr:rowOff>0</xdr:rowOff>
    </xdr:from>
    <xdr:to>
      <xdr:col>15</xdr:col>
      <xdr:colOff>171114</xdr:colOff>
      <xdr:row>185</xdr:row>
      <xdr:rowOff>38008</xdr:rowOff>
    </xdr:to>
    <xdr:pic>
      <xdr:nvPicPr>
        <xdr:cNvPr id="10" name="Picture 9">
          <a:extLst>
            <a:ext uri="{FF2B5EF4-FFF2-40B4-BE49-F238E27FC236}">
              <a16:creationId xmlns:a16="http://schemas.microsoft.com/office/drawing/2014/main" id="{482FEA26-7F51-10D0-29C9-6F11789AD230}"/>
            </a:ext>
          </a:extLst>
        </xdr:cNvPr>
        <xdr:cNvPicPr>
          <a:picLocks noChangeAspect="1"/>
        </xdr:cNvPicPr>
      </xdr:nvPicPr>
      <xdr:blipFill>
        <a:blip xmlns:r="http://schemas.openxmlformats.org/officeDocument/2006/relationships" r:embed="rId6"/>
        <a:stretch>
          <a:fillRect/>
        </a:stretch>
      </xdr:blipFill>
      <xdr:spPr>
        <a:xfrm>
          <a:off x="21355050" y="31432500"/>
          <a:ext cx="2685714" cy="73333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400051</xdr:colOff>
      <xdr:row>163</xdr:row>
      <xdr:rowOff>142875</xdr:rowOff>
    </xdr:from>
    <xdr:to>
      <xdr:col>3</xdr:col>
      <xdr:colOff>3063019</xdr:colOff>
      <xdr:row>173</xdr:row>
      <xdr:rowOff>142875</xdr:rowOff>
    </xdr:to>
    <xdr:pic>
      <xdr:nvPicPr>
        <xdr:cNvPr id="2" name="Imagen 1">
          <a:extLst>
            <a:ext uri="{FF2B5EF4-FFF2-40B4-BE49-F238E27FC236}">
              <a16:creationId xmlns:a16="http://schemas.microsoft.com/office/drawing/2014/main" id="{7527004A-2D9E-4941-AE97-4593C78C6550}"/>
            </a:ext>
          </a:extLst>
        </xdr:cNvPr>
        <xdr:cNvPicPr>
          <a:picLocks noChangeAspect="1"/>
        </xdr:cNvPicPr>
      </xdr:nvPicPr>
      <xdr:blipFill>
        <a:blip xmlns:r="http://schemas.openxmlformats.org/officeDocument/2006/relationships" r:embed="rId1"/>
        <a:stretch>
          <a:fillRect/>
        </a:stretch>
      </xdr:blipFill>
      <xdr:spPr>
        <a:xfrm>
          <a:off x="4733926" y="28746450"/>
          <a:ext cx="2662968" cy="1704975"/>
        </a:xfrm>
        <a:prstGeom prst="rect">
          <a:avLst/>
        </a:prstGeom>
      </xdr:spPr>
    </xdr:pic>
    <xdr:clientData/>
  </xdr:twoCellAnchor>
  <xdr:twoCellAnchor editAs="oneCell">
    <xdr:from>
      <xdr:col>2</xdr:col>
      <xdr:colOff>0</xdr:colOff>
      <xdr:row>1</xdr:row>
      <xdr:rowOff>0</xdr:rowOff>
    </xdr:from>
    <xdr:to>
      <xdr:col>4</xdr:col>
      <xdr:colOff>827844</xdr:colOff>
      <xdr:row>43</xdr:row>
      <xdr:rowOff>151517</xdr:rowOff>
    </xdr:to>
    <xdr:pic>
      <xdr:nvPicPr>
        <xdr:cNvPr id="3" name="Picture 2">
          <a:extLst>
            <a:ext uri="{FF2B5EF4-FFF2-40B4-BE49-F238E27FC236}">
              <a16:creationId xmlns:a16="http://schemas.microsoft.com/office/drawing/2014/main" id="{4D713CC8-05A0-4F67-BB92-66E8A49B80B7}"/>
            </a:ext>
          </a:extLst>
        </xdr:cNvPr>
        <xdr:cNvPicPr>
          <a:picLocks noChangeAspect="1"/>
        </xdr:cNvPicPr>
      </xdr:nvPicPr>
      <xdr:blipFill>
        <a:blip xmlns:r="http://schemas.openxmlformats.org/officeDocument/2006/relationships" r:embed="rId2"/>
        <a:stretch>
          <a:fillRect/>
        </a:stretch>
      </xdr:blipFill>
      <xdr:spPr>
        <a:xfrm>
          <a:off x="1971675" y="161925"/>
          <a:ext cx="6647619" cy="7066667"/>
        </a:xfrm>
        <a:prstGeom prst="rect">
          <a:avLst/>
        </a:prstGeom>
      </xdr:spPr>
    </xdr:pic>
    <xdr:clientData/>
  </xdr:twoCellAnchor>
  <xdr:twoCellAnchor editAs="oneCell">
    <xdr:from>
      <xdr:col>1</xdr:col>
      <xdr:colOff>523875</xdr:colOff>
      <xdr:row>45</xdr:row>
      <xdr:rowOff>66675</xdr:rowOff>
    </xdr:from>
    <xdr:to>
      <xdr:col>4</xdr:col>
      <xdr:colOff>103963</xdr:colOff>
      <xdr:row>58</xdr:row>
      <xdr:rowOff>1419</xdr:rowOff>
    </xdr:to>
    <xdr:pic>
      <xdr:nvPicPr>
        <xdr:cNvPr id="4" name="Picture 3">
          <a:extLst>
            <a:ext uri="{FF2B5EF4-FFF2-40B4-BE49-F238E27FC236}">
              <a16:creationId xmlns:a16="http://schemas.microsoft.com/office/drawing/2014/main" id="{B42282C8-6EEC-44AD-B236-D003E00E39D2}"/>
            </a:ext>
          </a:extLst>
        </xdr:cNvPr>
        <xdr:cNvPicPr>
          <a:picLocks noChangeAspect="1"/>
        </xdr:cNvPicPr>
      </xdr:nvPicPr>
      <xdr:blipFill>
        <a:blip xmlns:r="http://schemas.openxmlformats.org/officeDocument/2006/relationships" r:embed="rId3"/>
        <a:stretch>
          <a:fillRect/>
        </a:stretch>
      </xdr:blipFill>
      <xdr:spPr>
        <a:xfrm>
          <a:off x="1400175" y="7467600"/>
          <a:ext cx="6495238" cy="2095238"/>
        </a:xfrm>
        <a:prstGeom prst="rect">
          <a:avLst/>
        </a:prstGeom>
      </xdr:spPr>
    </xdr:pic>
    <xdr:clientData/>
  </xdr:twoCellAnchor>
  <xdr:twoCellAnchor editAs="oneCell">
    <xdr:from>
      <xdr:col>5</xdr:col>
      <xdr:colOff>1314450</xdr:colOff>
      <xdr:row>0</xdr:row>
      <xdr:rowOff>142875</xdr:rowOff>
    </xdr:from>
    <xdr:to>
      <xdr:col>9</xdr:col>
      <xdr:colOff>913558</xdr:colOff>
      <xdr:row>40</xdr:row>
      <xdr:rowOff>18246</xdr:rowOff>
    </xdr:to>
    <xdr:pic>
      <xdr:nvPicPr>
        <xdr:cNvPr id="5" name="Picture 4">
          <a:extLst>
            <a:ext uri="{FF2B5EF4-FFF2-40B4-BE49-F238E27FC236}">
              <a16:creationId xmlns:a16="http://schemas.microsoft.com/office/drawing/2014/main" id="{48B8EF33-A50E-409C-88CE-9FF7C006BCB6}"/>
            </a:ext>
          </a:extLst>
        </xdr:cNvPr>
        <xdr:cNvPicPr>
          <a:picLocks noChangeAspect="1"/>
        </xdr:cNvPicPr>
      </xdr:nvPicPr>
      <xdr:blipFill>
        <a:blip xmlns:r="http://schemas.openxmlformats.org/officeDocument/2006/relationships" r:embed="rId4"/>
        <a:stretch>
          <a:fillRect/>
        </a:stretch>
      </xdr:blipFill>
      <xdr:spPr>
        <a:xfrm>
          <a:off x="10410825" y="142875"/>
          <a:ext cx="6733333" cy="6428571"/>
        </a:xfrm>
        <a:prstGeom prst="rect">
          <a:avLst/>
        </a:prstGeom>
      </xdr:spPr>
    </xdr:pic>
    <xdr:clientData/>
  </xdr:twoCellAnchor>
  <xdr:twoCellAnchor editAs="oneCell">
    <xdr:from>
      <xdr:col>5</xdr:col>
      <xdr:colOff>1038225</xdr:colOff>
      <xdr:row>40</xdr:row>
      <xdr:rowOff>66675</xdr:rowOff>
    </xdr:from>
    <xdr:to>
      <xdr:col>9</xdr:col>
      <xdr:colOff>484952</xdr:colOff>
      <xdr:row>58</xdr:row>
      <xdr:rowOff>28204</xdr:rowOff>
    </xdr:to>
    <xdr:pic>
      <xdr:nvPicPr>
        <xdr:cNvPr id="6" name="Picture 5">
          <a:extLst>
            <a:ext uri="{FF2B5EF4-FFF2-40B4-BE49-F238E27FC236}">
              <a16:creationId xmlns:a16="http://schemas.microsoft.com/office/drawing/2014/main" id="{A5B47CD5-7307-4CB2-BB1D-1D8A0BDA789D}"/>
            </a:ext>
          </a:extLst>
        </xdr:cNvPr>
        <xdr:cNvPicPr>
          <a:picLocks noChangeAspect="1"/>
        </xdr:cNvPicPr>
      </xdr:nvPicPr>
      <xdr:blipFill>
        <a:blip xmlns:r="http://schemas.openxmlformats.org/officeDocument/2006/relationships" r:embed="rId5"/>
        <a:stretch>
          <a:fillRect/>
        </a:stretch>
      </xdr:blipFill>
      <xdr:spPr>
        <a:xfrm>
          <a:off x="10134600" y="6619875"/>
          <a:ext cx="6580952" cy="2971429"/>
        </a:xfrm>
        <a:prstGeom prst="rect">
          <a:avLst/>
        </a:prstGeom>
      </xdr:spPr>
    </xdr:pic>
    <xdr:clientData/>
  </xdr:twoCellAnchor>
  <xdr:twoCellAnchor editAs="oneCell">
    <xdr:from>
      <xdr:col>13</xdr:col>
      <xdr:colOff>0</xdr:colOff>
      <xdr:row>182</xdr:row>
      <xdr:rowOff>0</xdr:rowOff>
    </xdr:from>
    <xdr:to>
      <xdr:col>15</xdr:col>
      <xdr:colOff>171114</xdr:colOff>
      <xdr:row>186</xdr:row>
      <xdr:rowOff>38008</xdr:rowOff>
    </xdr:to>
    <xdr:pic>
      <xdr:nvPicPr>
        <xdr:cNvPr id="7" name="Picture 6">
          <a:extLst>
            <a:ext uri="{FF2B5EF4-FFF2-40B4-BE49-F238E27FC236}">
              <a16:creationId xmlns:a16="http://schemas.microsoft.com/office/drawing/2014/main" id="{B5C283B5-8822-4EAA-8504-0F58165D610A}"/>
            </a:ext>
          </a:extLst>
        </xdr:cNvPr>
        <xdr:cNvPicPr>
          <a:picLocks noChangeAspect="1"/>
        </xdr:cNvPicPr>
      </xdr:nvPicPr>
      <xdr:blipFill>
        <a:blip xmlns:r="http://schemas.openxmlformats.org/officeDocument/2006/relationships" r:embed="rId6"/>
        <a:stretch>
          <a:fillRect/>
        </a:stretch>
      </xdr:blipFill>
      <xdr:spPr>
        <a:xfrm>
          <a:off x="21355050" y="32213550"/>
          <a:ext cx="2685714" cy="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685800</xdr:colOff>
      <xdr:row>2</xdr:row>
      <xdr:rowOff>133350</xdr:rowOff>
    </xdr:from>
    <xdr:to>
      <xdr:col>15</xdr:col>
      <xdr:colOff>456407</xdr:colOff>
      <xdr:row>16</xdr:row>
      <xdr:rowOff>237826</xdr:rowOff>
    </xdr:to>
    <xdr:pic>
      <xdr:nvPicPr>
        <xdr:cNvPr id="3" name="Picture 2">
          <a:extLst>
            <a:ext uri="{FF2B5EF4-FFF2-40B4-BE49-F238E27FC236}">
              <a16:creationId xmlns:a16="http://schemas.microsoft.com/office/drawing/2014/main" id="{4ADF0AFE-89E3-5AF0-9AA1-8FC43B252A86}"/>
            </a:ext>
          </a:extLst>
        </xdr:cNvPr>
        <xdr:cNvPicPr>
          <a:picLocks noChangeAspect="1"/>
        </xdr:cNvPicPr>
      </xdr:nvPicPr>
      <xdr:blipFill>
        <a:blip xmlns:r="http://schemas.openxmlformats.org/officeDocument/2006/relationships" r:embed="rId1"/>
        <a:stretch>
          <a:fillRect/>
        </a:stretch>
      </xdr:blipFill>
      <xdr:spPr>
        <a:xfrm>
          <a:off x="10515600" y="457200"/>
          <a:ext cx="6342857" cy="239047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24</xdr:col>
      <xdr:colOff>659146</xdr:colOff>
      <xdr:row>58</xdr:row>
      <xdr:rowOff>145035</xdr:rowOff>
    </xdr:from>
    <xdr:ext cx="6257925" cy="4105275"/>
    <xdr:pic>
      <xdr:nvPicPr>
        <xdr:cNvPr id="2" name="image2.png" title="Imagen">
          <a:extLst>
            <a:ext uri="{FF2B5EF4-FFF2-40B4-BE49-F238E27FC236}">
              <a16:creationId xmlns:a16="http://schemas.microsoft.com/office/drawing/2014/main" id="{7F77B0DF-C074-43EE-BF3E-3A962DBAAE7D}"/>
            </a:ext>
          </a:extLst>
        </xdr:cNvPr>
        <xdr:cNvPicPr preferRelativeResize="0"/>
      </xdr:nvPicPr>
      <xdr:blipFill>
        <a:blip xmlns:r="http://schemas.openxmlformats.org/officeDocument/2006/relationships" r:embed="rId1" cstate="print"/>
        <a:stretch>
          <a:fillRect/>
        </a:stretch>
      </xdr:blipFill>
      <xdr:spPr>
        <a:xfrm>
          <a:off x="33939496" y="11946510"/>
          <a:ext cx="6257925" cy="4105275"/>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twoCellAnchor editAs="oneCell">
    <xdr:from>
      <xdr:col>2</xdr:col>
      <xdr:colOff>76200</xdr:colOff>
      <xdr:row>0</xdr:row>
      <xdr:rowOff>0</xdr:rowOff>
    </xdr:from>
    <xdr:to>
      <xdr:col>4</xdr:col>
      <xdr:colOff>552450</xdr:colOff>
      <xdr:row>5</xdr:row>
      <xdr:rowOff>32037</xdr:rowOff>
    </xdr:to>
    <xdr:pic>
      <xdr:nvPicPr>
        <xdr:cNvPr id="2" name="Imagen 1">
          <a:extLst>
            <a:ext uri="{FF2B5EF4-FFF2-40B4-BE49-F238E27FC236}">
              <a16:creationId xmlns:a16="http://schemas.microsoft.com/office/drawing/2014/main" id="{0AD53E1E-2E4A-4092-A21C-B55777E43E45}"/>
            </a:ext>
          </a:extLst>
        </xdr:cNvPr>
        <xdr:cNvPicPr>
          <a:picLocks noChangeAspect="1"/>
        </xdr:cNvPicPr>
      </xdr:nvPicPr>
      <xdr:blipFill rotWithShape="1">
        <a:blip xmlns:r="http://schemas.openxmlformats.org/officeDocument/2006/relationships" r:embed="rId1"/>
        <a:srcRect l="15056" t="11106" r="17192" b="59567"/>
        <a:stretch/>
      </xdr:blipFill>
      <xdr:spPr>
        <a:xfrm>
          <a:off x="2705100" y="0"/>
          <a:ext cx="2638425" cy="103216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8</xdr:col>
      <xdr:colOff>685800</xdr:colOff>
      <xdr:row>11</xdr:row>
      <xdr:rowOff>171450</xdr:rowOff>
    </xdr:from>
    <xdr:ext cx="3581400" cy="1828800"/>
    <xdr:pic>
      <xdr:nvPicPr>
        <xdr:cNvPr id="2" name="image3.png">
          <a:extLst>
            <a:ext uri="{FF2B5EF4-FFF2-40B4-BE49-F238E27FC236}">
              <a16:creationId xmlns:a16="http://schemas.microsoft.com/office/drawing/2014/main" id="{EF50A6AF-E8CD-4610-A854-B7BE0772FFC2}"/>
            </a:ext>
          </a:extLst>
        </xdr:cNvPr>
        <xdr:cNvPicPr preferRelativeResize="0"/>
      </xdr:nvPicPr>
      <xdr:blipFill>
        <a:blip xmlns:r="http://schemas.openxmlformats.org/officeDocument/2006/relationships" r:embed="rId1" cstate="print"/>
        <a:stretch>
          <a:fillRect/>
        </a:stretch>
      </xdr:blipFill>
      <xdr:spPr>
        <a:xfrm>
          <a:off x="10715625" y="2162175"/>
          <a:ext cx="3581400" cy="1828800"/>
        </a:xfrm>
        <a:prstGeom prst="rect">
          <a:avLst/>
        </a:prstGeom>
        <a:noFill/>
      </xdr:spPr>
    </xdr:pic>
    <xdr:clientData fLocksWithSheet="0"/>
  </xdr:oneCellAnchor>
  <xdr:oneCellAnchor>
    <xdr:from>
      <xdr:col>8</xdr:col>
      <xdr:colOff>733425</xdr:colOff>
      <xdr:row>22</xdr:row>
      <xdr:rowOff>57150</xdr:rowOff>
    </xdr:from>
    <xdr:ext cx="3714750" cy="2038350"/>
    <xdr:pic>
      <xdr:nvPicPr>
        <xdr:cNvPr id="3" name="image2.png">
          <a:extLst>
            <a:ext uri="{FF2B5EF4-FFF2-40B4-BE49-F238E27FC236}">
              <a16:creationId xmlns:a16="http://schemas.microsoft.com/office/drawing/2014/main" id="{A25322CE-ED3F-4A91-8B03-19E17852605E}"/>
            </a:ext>
          </a:extLst>
        </xdr:cNvPr>
        <xdr:cNvPicPr preferRelativeResize="0"/>
      </xdr:nvPicPr>
      <xdr:blipFill>
        <a:blip xmlns:r="http://schemas.openxmlformats.org/officeDocument/2006/relationships" r:embed="rId2" cstate="print"/>
        <a:stretch>
          <a:fillRect/>
        </a:stretch>
      </xdr:blipFill>
      <xdr:spPr>
        <a:xfrm>
          <a:off x="10763250" y="4038600"/>
          <a:ext cx="3714750" cy="2038350"/>
        </a:xfrm>
        <a:prstGeom prst="rect">
          <a:avLst/>
        </a:prstGeom>
        <a:noFill/>
      </xdr:spPr>
    </xdr:pic>
    <xdr:clientData fLocksWithSheet="0"/>
  </xdr:oneCellAnchor>
  <xdr:oneCellAnchor>
    <xdr:from>
      <xdr:col>8</xdr:col>
      <xdr:colOff>923925</xdr:colOff>
      <xdr:row>32</xdr:row>
      <xdr:rowOff>95250</xdr:rowOff>
    </xdr:from>
    <xdr:ext cx="3362325" cy="1990725"/>
    <xdr:pic>
      <xdr:nvPicPr>
        <xdr:cNvPr id="4" name="image4.png">
          <a:extLst>
            <a:ext uri="{FF2B5EF4-FFF2-40B4-BE49-F238E27FC236}">
              <a16:creationId xmlns:a16="http://schemas.microsoft.com/office/drawing/2014/main" id="{AE5D5FDF-7040-4848-984D-03BF395D6754}"/>
            </a:ext>
          </a:extLst>
        </xdr:cNvPr>
        <xdr:cNvPicPr preferRelativeResize="0"/>
      </xdr:nvPicPr>
      <xdr:blipFill>
        <a:blip xmlns:r="http://schemas.openxmlformats.org/officeDocument/2006/relationships" r:embed="rId3" cstate="print"/>
        <a:stretch>
          <a:fillRect/>
        </a:stretch>
      </xdr:blipFill>
      <xdr:spPr>
        <a:xfrm>
          <a:off x="10953750" y="5886450"/>
          <a:ext cx="3362325" cy="1990725"/>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twoCellAnchor editAs="oneCell">
    <xdr:from>
      <xdr:col>3</xdr:col>
      <xdr:colOff>819151</xdr:colOff>
      <xdr:row>158</xdr:row>
      <xdr:rowOff>152400</xdr:rowOff>
    </xdr:from>
    <xdr:to>
      <xdr:col>4</xdr:col>
      <xdr:colOff>996094</xdr:colOff>
      <xdr:row>169</xdr:row>
      <xdr:rowOff>76200</xdr:rowOff>
    </xdr:to>
    <xdr:pic>
      <xdr:nvPicPr>
        <xdr:cNvPr id="2" name="Imagen 1">
          <a:extLst>
            <a:ext uri="{FF2B5EF4-FFF2-40B4-BE49-F238E27FC236}">
              <a16:creationId xmlns:a16="http://schemas.microsoft.com/office/drawing/2014/main" id="{DD153613-2CE5-49C7-BB19-C7420C5F1688}"/>
            </a:ext>
          </a:extLst>
        </xdr:cNvPr>
        <xdr:cNvPicPr>
          <a:picLocks noChangeAspect="1"/>
        </xdr:cNvPicPr>
      </xdr:nvPicPr>
      <xdr:blipFill>
        <a:blip xmlns:r="http://schemas.openxmlformats.org/officeDocument/2006/relationships" r:embed="rId1"/>
        <a:stretch>
          <a:fillRect/>
        </a:stretch>
      </xdr:blipFill>
      <xdr:spPr>
        <a:xfrm>
          <a:off x="4562476" y="28174950"/>
          <a:ext cx="2662968" cy="1704975"/>
        </a:xfrm>
        <a:prstGeom prst="rect">
          <a:avLst/>
        </a:prstGeom>
      </xdr:spPr>
    </xdr:pic>
    <xdr:clientData/>
  </xdr:twoCellAnchor>
  <xdr:twoCellAnchor editAs="oneCell">
    <xdr:from>
      <xdr:col>3</xdr:col>
      <xdr:colOff>771525</xdr:colOff>
      <xdr:row>0</xdr:row>
      <xdr:rowOff>85725</xdr:rowOff>
    </xdr:from>
    <xdr:to>
      <xdr:col>6</xdr:col>
      <xdr:colOff>2228001</xdr:colOff>
      <xdr:row>44</xdr:row>
      <xdr:rowOff>37215</xdr:rowOff>
    </xdr:to>
    <xdr:pic>
      <xdr:nvPicPr>
        <xdr:cNvPr id="3" name="Picture 2">
          <a:extLst>
            <a:ext uri="{FF2B5EF4-FFF2-40B4-BE49-F238E27FC236}">
              <a16:creationId xmlns:a16="http://schemas.microsoft.com/office/drawing/2014/main" id="{446D126B-24F7-0EED-A21C-398CE6930552}"/>
            </a:ext>
          </a:extLst>
        </xdr:cNvPr>
        <xdr:cNvPicPr>
          <a:picLocks noChangeAspect="1"/>
        </xdr:cNvPicPr>
      </xdr:nvPicPr>
      <xdr:blipFill>
        <a:blip xmlns:r="http://schemas.openxmlformats.org/officeDocument/2006/relationships" r:embed="rId2"/>
        <a:stretch>
          <a:fillRect/>
        </a:stretch>
      </xdr:blipFill>
      <xdr:spPr>
        <a:xfrm>
          <a:off x="4619625" y="85725"/>
          <a:ext cx="6790476" cy="7076190"/>
        </a:xfrm>
        <a:prstGeom prst="rect">
          <a:avLst/>
        </a:prstGeom>
      </xdr:spPr>
    </xdr:pic>
    <xdr:clientData/>
  </xdr:twoCellAnchor>
  <xdr:twoCellAnchor editAs="oneCell">
    <xdr:from>
      <xdr:col>3</xdr:col>
      <xdr:colOff>771525</xdr:colOff>
      <xdr:row>44</xdr:row>
      <xdr:rowOff>85725</xdr:rowOff>
    </xdr:from>
    <xdr:to>
      <xdr:col>6</xdr:col>
      <xdr:colOff>2113715</xdr:colOff>
      <xdr:row>59</xdr:row>
      <xdr:rowOff>75888</xdr:rowOff>
    </xdr:to>
    <xdr:pic>
      <xdr:nvPicPr>
        <xdr:cNvPr id="4" name="Picture 3">
          <a:extLst>
            <a:ext uri="{FF2B5EF4-FFF2-40B4-BE49-F238E27FC236}">
              <a16:creationId xmlns:a16="http://schemas.microsoft.com/office/drawing/2014/main" id="{4580CC4E-737B-9EA0-B824-E2F807E32C2B}"/>
            </a:ext>
          </a:extLst>
        </xdr:cNvPr>
        <xdr:cNvPicPr>
          <a:picLocks noChangeAspect="1"/>
        </xdr:cNvPicPr>
      </xdr:nvPicPr>
      <xdr:blipFill>
        <a:blip xmlns:r="http://schemas.openxmlformats.org/officeDocument/2006/relationships" r:embed="rId3"/>
        <a:stretch>
          <a:fillRect/>
        </a:stretch>
      </xdr:blipFill>
      <xdr:spPr>
        <a:xfrm>
          <a:off x="4619625" y="7210425"/>
          <a:ext cx="6676190" cy="2495238"/>
        </a:xfrm>
        <a:prstGeom prst="rect">
          <a:avLst/>
        </a:prstGeom>
      </xdr:spPr>
    </xdr:pic>
    <xdr:clientData/>
  </xdr:twoCellAnchor>
  <xdr:twoCellAnchor editAs="oneCell">
    <xdr:from>
      <xdr:col>6</xdr:col>
      <xdr:colOff>2400300</xdr:colOff>
      <xdr:row>0</xdr:row>
      <xdr:rowOff>133350</xdr:rowOff>
    </xdr:from>
    <xdr:to>
      <xdr:col>12</xdr:col>
      <xdr:colOff>142018</xdr:colOff>
      <xdr:row>50</xdr:row>
      <xdr:rowOff>84719</xdr:rowOff>
    </xdr:to>
    <xdr:pic>
      <xdr:nvPicPr>
        <xdr:cNvPr id="5" name="Picture 4">
          <a:extLst>
            <a:ext uri="{FF2B5EF4-FFF2-40B4-BE49-F238E27FC236}">
              <a16:creationId xmlns:a16="http://schemas.microsoft.com/office/drawing/2014/main" id="{454445E9-9CCB-DF71-706A-B5215D1852A5}"/>
            </a:ext>
          </a:extLst>
        </xdr:cNvPr>
        <xdr:cNvPicPr>
          <a:picLocks noChangeAspect="1"/>
        </xdr:cNvPicPr>
      </xdr:nvPicPr>
      <xdr:blipFill>
        <a:blip xmlns:r="http://schemas.openxmlformats.org/officeDocument/2006/relationships" r:embed="rId4"/>
        <a:stretch>
          <a:fillRect/>
        </a:stretch>
      </xdr:blipFill>
      <xdr:spPr>
        <a:xfrm>
          <a:off x="11582400" y="133350"/>
          <a:ext cx="6857143" cy="804761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819151</xdr:colOff>
      <xdr:row>158</xdr:row>
      <xdr:rowOff>152400</xdr:rowOff>
    </xdr:from>
    <xdr:to>
      <xdr:col>4</xdr:col>
      <xdr:colOff>996094</xdr:colOff>
      <xdr:row>169</xdr:row>
      <xdr:rowOff>76200</xdr:rowOff>
    </xdr:to>
    <xdr:pic>
      <xdr:nvPicPr>
        <xdr:cNvPr id="2" name="Imagen 1">
          <a:extLst>
            <a:ext uri="{FF2B5EF4-FFF2-40B4-BE49-F238E27FC236}">
              <a16:creationId xmlns:a16="http://schemas.microsoft.com/office/drawing/2014/main" id="{7C7A78DB-100B-43C6-9FC6-3B77EACB1C79}"/>
            </a:ext>
          </a:extLst>
        </xdr:cNvPr>
        <xdr:cNvPicPr>
          <a:picLocks noChangeAspect="1"/>
        </xdr:cNvPicPr>
      </xdr:nvPicPr>
      <xdr:blipFill>
        <a:blip xmlns:r="http://schemas.openxmlformats.org/officeDocument/2006/relationships" r:embed="rId1"/>
        <a:stretch>
          <a:fillRect/>
        </a:stretch>
      </xdr:blipFill>
      <xdr:spPr>
        <a:xfrm>
          <a:off x="4562476" y="28165425"/>
          <a:ext cx="2662968" cy="1704975"/>
        </a:xfrm>
        <a:prstGeom prst="rect">
          <a:avLst/>
        </a:prstGeom>
      </xdr:spPr>
    </xdr:pic>
    <xdr:clientData/>
  </xdr:twoCellAnchor>
  <xdr:twoCellAnchor editAs="oneCell">
    <xdr:from>
      <xdr:col>3</xdr:col>
      <xdr:colOff>771525</xdr:colOff>
      <xdr:row>0</xdr:row>
      <xdr:rowOff>85725</xdr:rowOff>
    </xdr:from>
    <xdr:to>
      <xdr:col>6</xdr:col>
      <xdr:colOff>2228001</xdr:colOff>
      <xdr:row>44</xdr:row>
      <xdr:rowOff>37215</xdr:rowOff>
    </xdr:to>
    <xdr:pic>
      <xdr:nvPicPr>
        <xdr:cNvPr id="3" name="Picture 2">
          <a:extLst>
            <a:ext uri="{FF2B5EF4-FFF2-40B4-BE49-F238E27FC236}">
              <a16:creationId xmlns:a16="http://schemas.microsoft.com/office/drawing/2014/main" id="{BD4638F3-747C-48C6-9905-3A44AB637DAE}"/>
            </a:ext>
          </a:extLst>
        </xdr:cNvPr>
        <xdr:cNvPicPr>
          <a:picLocks noChangeAspect="1"/>
        </xdr:cNvPicPr>
      </xdr:nvPicPr>
      <xdr:blipFill>
        <a:blip xmlns:r="http://schemas.openxmlformats.org/officeDocument/2006/relationships" r:embed="rId2"/>
        <a:stretch>
          <a:fillRect/>
        </a:stretch>
      </xdr:blipFill>
      <xdr:spPr>
        <a:xfrm>
          <a:off x="4514850" y="85725"/>
          <a:ext cx="6790476" cy="7076190"/>
        </a:xfrm>
        <a:prstGeom prst="rect">
          <a:avLst/>
        </a:prstGeom>
      </xdr:spPr>
    </xdr:pic>
    <xdr:clientData/>
  </xdr:twoCellAnchor>
  <xdr:twoCellAnchor editAs="oneCell">
    <xdr:from>
      <xdr:col>3</xdr:col>
      <xdr:colOff>771525</xdr:colOff>
      <xdr:row>44</xdr:row>
      <xdr:rowOff>85725</xdr:rowOff>
    </xdr:from>
    <xdr:to>
      <xdr:col>6</xdr:col>
      <xdr:colOff>2113715</xdr:colOff>
      <xdr:row>59</xdr:row>
      <xdr:rowOff>75888</xdr:rowOff>
    </xdr:to>
    <xdr:pic>
      <xdr:nvPicPr>
        <xdr:cNvPr id="4" name="Picture 3">
          <a:extLst>
            <a:ext uri="{FF2B5EF4-FFF2-40B4-BE49-F238E27FC236}">
              <a16:creationId xmlns:a16="http://schemas.microsoft.com/office/drawing/2014/main" id="{C3DEB467-ACEF-4C61-99A3-AC5611D13017}"/>
            </a:ext>
          </a:extLst>
        </xdr:cNvPr>
        <xdr:cNvPicPr>
          <a:picLocks noChangeAspect="1"/>
        </xdr:cNvPicPr>
      </xdr:nvPicPr>
      <xdr:blipFill>
        <a:blip xmlns:r="http://schemas.openxmlformats.org/officeDocument/2006/relationships" r:embed="rId3"/>
        <a:stretch>
          <a:fillRect/>
        </a:stretch>
      </xdr:blipFill>
      <xdr:spPr>
        <a:xfrm>
          <a:off x="4514850" y="7210425"/>
          <a:ext cx="6676190" cy="2495238"/>
        </a:xfrm>
        <a:prstGeom prst="rect">
          <a:avLst/>
        </a:prstGeom>
      </xdr:spPr>
    </xdr:pic>
    <xdr:clientData/>
  </xdr:twoCellAnchor>
  <xdr:twoCellAnchor editAs="oneCell">
    <xdr:from>
      <xdr:col>6</xdr:col>
      <xdr:colOff>2400300</xdr:colOff>
      <xdr:row>0</xdr:row>
      <xdr:rowOff>133350</xdr:rowOff>
    </xdr:from>
    <xdr:to>
      <xdr:col>12</xdr:col>
      <xdr:colOff>142018</xdr:colOff>
      <xdr:row>50</xdr:row>
      <xdr:rowOff>84719</xdr:rowOff>
    </xdr:to>
    <xdr:pic>
      <xdr:nvPicPr>
        <xdr:cNvPr id="5" name="Picture 4">
          <a:extLst>
            <a:ext uri="{FF2B5EF4-FFF2-40B4-BE49-F238E27FC236}">
              <a16:creationId xmlns:a16="http://schemas.microsoft.com/office/drawing/2014/main" id="{F5BB297C-A869-4025-B240-A285A85C43CF}"/>
            </a:ext>
          </a:extLst>
        </xdr:cNvPr>
        <xdr:cNvPicPr>
          <a:picLocks noChangeAspect="1"/>
        </xdr:cNvPicPr>
      </xdr:nvPicPr>
      <xdr:blipFill>
        <a:blip xmlns:r="http://schemas.openxmlformats.org/officeDocument/2006/relationships" r:embed="rId4"/>
        <a:stretch>
          <a:fillRect/>
        </a:stretch>
      </xdr:blipFill>
      <xdr:spPr>
        <a:xfrm>
          <a:off x="11477625" y="133350"/>
          <a:ext cx="6857143" cy="804761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20</xdr:col>
      <xdr:colOff>257176</xdr:colOff>
      <xdr:row>6</xdr:row>
      <xdr:rowOff>133350</xdr:rowOff>
    </xdr:from>
    <xdr:to>
      <xdr:col>25</xdr:col>
      <xdr:colOff>381001</xdr:colOff>
      <xdr:row>20</xdr:row>
      <xdr:rowOff>27934</xdr:rowOff>
    </xdr:to>
    <xdr:pic>
      <xdr:nvPicPr>
        <xdr:cNvPr id="2" name="Imagen 1">
          <a:extLst>
            <a:ext uri="{FF2B5EF4-FFF2-40B4-BE49-F238E27FC236}">
              <a16:creationId xmlns:a16="http://schemas.microsoft.com/office/drawing/2014/main" id="{F6AD9C1E-86F7-4091-B7F6-73F25C849F3F}"/>
            </a:ext>
          </a:extLst>
        </xdr:cNvPr>
        <xdr:cNvPicPr>
          <a:picLocks noChangeAspect="1"/>
        </xdr:cNvPicPr>
      </xdr:nvPicPr>
      <xdr:blipFill>
        <a:blip xmlns:r="http://schemas.openxmlformats.org/officeDocument/2006/relationships" r:embed="rId1"/>
        <a:stretch>
          <a:fillRect/>
        </a:stretch>
      </xdr:blipFill>
      <xdr:spPr>
        <a:xfrm>
          <a:off x="18954751" y="1219200"/>
          <a:ext cx="4171950" cy="2428234"/>
        </a:xfrm>
        <a:prstGeom prst="rect">
          <a:avLst/>
        </a:prstGeom>
      </xdr:spPr>
    </xdr:pic>
    <xdr:clientData/>
  </xdr:twoCellAnchor>
  <xdr:twoCellAnchor editAs="oneCell">
    <xdr:from>
      <xdr:col>20</xdr:col>
      <xdr:colOff>238125</xdr:colOff>
      <xdr:row>22</xdr:row>
      <xdr:rowOff>161925</xdr:rowOff>
    </xdr:from>
    <xdr:to>
      <xdr:col>25</xdr:col>
      <xdr:colOff>390525</xdr:colOff>
      <xdr:row>36</xdr:row>
      <xdr:rowOff>6138</xdr:rowOff>
    </xdr:to>
    <xdr:pic>
      <xdr:nvPicPr>
        <xdr:cNvPr id="3" name="Imagen 2">
          <a:extLst>
            <a:ext uri="{FF2B5EF4-FFF2-40B4-BE49-F238E27FC236}">
              <a16:creationId xmlns:a16="http://schemas.microsoft.com/office/drawing/2014/main" id="{D8EA583C-B688-4144-AEAD-A1A960254D60}"/>
            </a:ext>
          </a:extLst>
        </xdr:cNvPr>
        <xdr:cNvPicPr>
          <a:picLocks noChangeAspect="1"/>
        </xdr:cNvPicPr>
      </xdr:nvPicPr>
      <xdr:blipFill>
        <a:blip xmlns:r="http://schemas.openxmlformats.org/officeDocument/2006/relationships" r:embed="rId2"/>
        <a:stretch>
          <a:fillRect/>
        </a:stretch>
      </xdr:blipFill>
      <xdr:spPr>
        <a:xfrm>
          <a:off x="18935700" y="4143375"/>
          <a:ext cx="4200525" cy="2377863"/>
        </a:xfrm>
        <a:prstGeom prst="rect">
          <a:avLst/>
        </a:prstGeom>
      </xdr:spPr>
    </xdr:pic>
    <xdr:clientData/>
  </xdr:twoCellAnchor>
  <xdr:twoCellAnchor editAs="oneCell">
    <xdr:from>
      <xdr:col>20</xdr:col>
      <xdr:colOff>238125</xdr:colOff>
      <xdr:row>38</xdr:row>
      <xdr:rowOff>57150</xdr:rowOff>
    </xdr:from>
    <xdr:to>
      <xdr:col>25</xdr:col>
      <xdr:colOff>704850</xdr:colOff>
      <xdr:row>52</xdr:row>
      <xdr:rowOff>134701</xdr:rowOff>
    </xdr:to>
    <xdr:pic>
      <xdr:nvPicPr>
        <xdr:cNvPr id="4" name="Imagen 3">
          <a:extLst>
            <a:ext uri="{FF2B5EF4-FFF2-40B4-BE49-F238E27FC236}">
              <a16:creationId xmlns:a16="http://schemas.microsoft.com/office/drawing/2014/main" id="{F788E79C-99EE-49E7-8C88-D3AD7A0B76A6}"/>
            </a:ext>
          </a:extLst>
        </xdr:cNvPr>
        <xdr:cNvPicPr>
          <a:picLocks noChangeAspect="1"/>
        </xdr:cNvPicPr>
      </xdr:nvPicPr>
      <xdr:blipFill>
        <a:blip xmlns:r="http://schemas.openxmlformats.org/officeDocument/2006/relationships" r:embed="rId3"/>
        <a:stretch>
          <a:fillRect/>
        </a:stretch>
      </xdr:blipFill>
      <xdr:spPr>
        <a:xfrm>
          <a:off x="18935700" y="6934200"/>
          <a:ext cx="4514850" cy="261120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76200</xdr:colOff>
      <xdr:row>0</xdr:row>
      <xdr:rowOff>0</xdr:rowOff>
    </xdr:from>
    <xdr:to>
      <xdr:col>4</xdr:col>
      <xdr:colOff>657225</xdr:colOff>
      <xdr:row>5</xdr:row>
      <xdr:rowOff>32037</xdr:rowOff>
    </xdr:to>
    <xdr:pic>
      <xdr:nvPicPr>
        <xdr:cNvPr id="2" name="Imagen 1">
          <a:extLst>
            <a:ext uri="{FF2B5EF4-FFF2-40B4-BE49-F238E27FC236}">
              <a16:creationId xmlns:a16="http://schemas.microsoft.com/office/drawing/2014/main" id="{ED1B4F48-BC60-424E-87A7-4073B9383A14}"/>
            </a:ext>
          </a:extLst>
        </xdr:cNvPr>
        <xdr:cNvPicPr>
          <a:picLocks noChangeAspect="1"/>
        </xdr:cNvPicPr>
      </xdr:nvPicPr>
      <xdr:blipFill rotWithShape="1">
        <a:blip xmlns:r="http://schemas.openxmlformats.org/officeDocument/2006/relationships" r:embed="rId1"/>
        <a:srcRect l="15056" t="11106" r="17192" b="59567"/>
        <a:stretch/>
      </xdr:blipFill>
      <xdr:spPr>
        <a:xfrm>
          <a:off x="2705100" y="0"/>
          <a:ext cx="2638425" cy="10321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24</xdr:col>
      <xdr:colOff>659146</xdr:colOff>
      <xdr:row>63</xdr:row>
      <xdr:rowOff>145035</xdr:rowOff>
    </xdr:from>
    <xdr:ext cx="6257925" cy="4105275"/>
    <xdr:pic>
      <xdr:nvPicPr>
        <xdr:cNvPr id="2" name="image2.png" title="Imagen">
          <a:extLst>
            <a:ext uri="{FF2B5EF4-FFF2-40B4-BE49-F238E27FC236}">
              <a16:creationId xmlns:a16="http://schemas.microsoft.com/office/drawing/2014/main" id="{D70865B3-6EBE-45FB-98ED-DCF32453D2CE}"/>
            </a:ext>
          </a:extLst>
        </xdr:cNvPr>
        <xdr:cNvPicPr preferRelativeResize="0"/>
      </xdr:nvPicPr>
      <xdr:blipFill>
        <a:blip xmlns:r="http://schemas.openxmlformats.org/officeDocument/2006/relationships" r:embed="rId1" cstate="print"/>
        <a:stretch>
          <a:fillRect/>
        </a:stretch>
      </xdr:blipFill>
      <xdr:spPr>
        <a:xfrm>
          <a:off x="33939496" y="11184510"/>
          <a:ext cx="6257925" cy="4105275"/>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twoCellAnchor editAs="oneCell">
    <xdr:from>
      <xdr:col>3</xdr:col>
      <xdr:colOff>819151</xdr:colOff>
      <xdr:row>158</xdr:row>
      <xdr:rowOff>152400</xdr:rowOff>
    </xdr:from>
    <xdr:to>
      <xdr:col>4</xdr:col>
      <xdr:colOff>996094</xdr:colOff>
      <xdr:row>168</xdr:row>
      <xdr:rowOff>85725</xdr:rowOff>
    </xdr:to>
    <xdr:pic>
      <xdr:nvPicPr>
        <xdr:cNvPr id="2" name="Imagen 1">
          <a:extLst>
            <a:ext uri="{FF2B5EF4-FFF2-40B4-BE49-F238E27FC236}">
              <a16:creationId xmlns:a16="http://schemas.microsoft.com/office/drawing/2014/main" id="{390DF5A0-96BA-4C98-AC1D-51A41396CFC1}"/>
            </a:ext>
          </a:extLst>
        </xdr:cNvPr>
        <xdr:cNvPicPr>
          <a:picLocks noChangeAspect="1"/>
        </xdr:cNvPicPr>
      </xdr:nvPicPr>
      <xdr:blipFill>
        <a:blip xmlns:r="http://schemas.openxmlformats.org/officeDocument/2006/relationships" r:embed="rId1"/>
        <a:stretch>
          <a:fillRect/>
        </a:stretch>
      </xdr:blipFill>
      <xdr:spPr>
        <a:xfrm>
          <a:off x="4562476" y="29622750"/>
          <a:ext cx="2662968" cy="1704975"/>
        </a:xfrm>
        <a:prstGeom prst="rect">
          <a:avLst/>
        </a:prstGeom>
      </xdr:spPr>
    </xdr:pic>
    <xdr:clientData/>
  </xdr:twoCellAnchor>
  <xdr:twoCellAnchor editAs="oneCell">
    <xdr:from>
      <xdr:col>3</xdr:col>
      <xdr:colOff>771525</xdr:colOff>
      <xdr:row>0</xdr:row>
      <xdr:rowOff>85725</xdr:rowOff>
    </xdr:from>
    <xdr:to>
      <xdr:col>6</xdr:col>
      <xdr:colOff>2228001</xdr:colOff>
      <xdr:row>44</xdr:row>
      <xdr:rowOff>37215</xdr:rowOff>
    </xdr:to>
    <xdr:pic>
      <xdr:nvPicPr>
        <xdr:cNvPr id="3" name="Picture 2">
          <a:extLst>
            <a:ext uri="{FF2B5EF4-FFF2-40B4-BE49-F238E27FC236}">
              <a16:creationId xmlns:a16="http://schemas.microsoft.com/office/drawing/2014/main" id="{949374B3-0475-4095-A5D5-A86BB86C9F56}"/>
            </a:ext>
          </a:extLst>
        </xdr:cNvPr>
        <xdr:cNvPicPr>
          <a:picLocks noChangeAspect="1"/>
        </xdr:cNvPicPr>
      </xdr:nvPicPr>
      <xdr:blipFill>
        <a:blip xmlns:r="http://schemas.openxmlformats.org/officeDocument/2006/relationships" r:embed="rId2"/>
        <a:stretch>
          <a:fillRect/>
        </a:stretch>
      </xdr:blipFill>
      <xdr:spPr>
        <a:xfrm>
          <a:off x="4514850" y="85725"/>
          <a:ext cx="6790476" cy="7076190"/>
        </a:xfrm>
        <a:prstGeom prst="rect">
          <a:avLst/>
        </a:prstGeom>
      </xdr:spPr>
    </xdr:pic>
    <xdr:clientData/>
  </xdr:twoCellAnchor>
  <xdr:twoCellAnchor editAs="oneCell">
    <xdr:from>
      <xdr:col>3</xdr:col>
      <xdr:colOff>771525</xdr:colOff>
      <xdr:row>44</xdr:row>
      <xdr:rowOff>85725</xdr:rowOff>
    </xdr:from>
    <xdr:to>
      <xdr:col>6</xdr:col>
      <xdr:colOff>2113715</xdr:colOff>
      <xdr:row>59</xdr:row>
      <xdr:rowOff>75888</xdr:rowOff>
    </xdr:to>
    <xdr:pic>
      <xdr:nvPicPr>
        <xdr:cNvPr id="4" name="Picture 3">
          <a:extLst>
            <a:ext uri="{FF2B5EF4-FFF2-40B4-BE49-F238E27FC236}">
              <a16:creationId xmlns:a16="http://schemas.microsoft.com/office/drawing/2014/main" id="{A08213F4-9D88-4A24-BF83-4FCE07968DA8}"/>
            </a:ext>
          </a:extLst>
        </xdr:cNvPr>
        <xdr:cNvPicPr>
          <a:picLocks noChangeAspect="1"/>
        </xdr:cNvPicPr>
      </xdr:nvPicPr>
      <xdr:blipFill>
        <a:blip xmlns:r="http://schemas.openxmlformats.org/officeDocument/2006/relationships" r:embed="rId3"/>
        <a:stretch>
          <a:fillRect/>
        </a:stretch>
      </xdr:blipFill>
      <xdr:spPr>
        <a:xfrm>
          <a:off x="4514850" y="7210425"/>
          <a:ext cx="6676190" cy="2495238"/>
        </a:xfrm>
        <a:prstGeom prst="rect">
          <a:avLst/>
        </a:prstGeom>
      </xdr:spPr>
    </xdr:pic>
    <xdr:clientData/>
  </xdr:twoCellAnchor>
  <xdr:twoCellAnchor editAs="oneCell">
    <xdr:from>
      <xdr:col>6</xdr:col>
      <xdr:colOff>2400300</xdr:colOff>
      <xdr:row>0</xdr:row>
      <xdr:rowOff>133350</xdr:rowOff>
    </xdr:from>
    <xdr:to>
      <xdr:col>12</xdr:col>
      <xdr:colOff>142018</xdr:colOff>
      <xdr:row>50</xdr:row>
      <xdr:rowOff>84719</xdr:rowOff>
    </xdr:to>
    <xdr:pic>
      <xdr:nvPicPr>
        <xdr:cNvPr id="5" name="Picture 4">
          <a:extLst>
            <a:ext uri="{FF2B5EF4-FFF2-40B4-BE49-F238E27FC236}">
              <a16:creationId xmlns:a16="http://schemas.microsoft.com/office/drawing/2014/main" id="{CDF10A87-935A-4612-A258-43DDBD821385}"/>
            </a:ext>
          </a:extLst>
        </xdr:cNvPr>
        <xdr:cNvPicPr>
          <a:picLocks noChangeAspect="1"/>
        </xdr:cNvPicPr>
      </xdr:nvPicPr>
      <xdr:blipFill>
        <a:blip xmlns:r="http://schemas.openxmlformats.org/officeDocument/2006/relationships" r:embed="rId4"/>
        <a:stretch>
          <a:fillRect/>
        </a:stretch>
      </xdr:blipFill>
      <xdr:spPr>
        <a:xfrm>
          <a:off x="11477625" y="133350"/>
          <a:ext cx="6857143" cy="804761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2009776</xdr:colOff>
      <xdr:row>165</xdr:row>
      <xdr:rowOff>0</xdr:rowOff>
    </xdr:from>
    <xdr:to>
      <xdr:col>3</xdr:col>
      <xdr:colOff>2310544</xdr:colOff>
      <xdr:row>175</xdr:row>
      <xdr:rowOff>85725</xdr:rowOff>
    </xdr:to>
    <xdr:pic>
      <xdr:nvPicPr>
        <xdr:cNvPr id="2" name="Imagen 1">
          <a:extLst>
            <a:ext uri="{FF2B5EF4-FFF2-40B4-BE49-F238E27FC236}">
              <a16:creationId xmlns:a16="http://schemas.microsoft.com/office/drawing/2014/main" id="{75FB42C0-3076-4DB7-9731-846E8FFCC6EC}"/>
            </a:ext>
          </a:extLst>
        </xdr:cNvPr>
        <xdr:cNvPicPr>
          <a:picLocks noChangeAspect="1"/>
        </xdr:cNvPicPr>
      </xdr:nvPicPr>
      <xdr:blipFill>
        <a:blip xmlns:r="http://schemas.openxmlformats.org/officeDocument/2006/relationships" r:embed="rId1"/>
        <a:stretch>
          <a:fillRect/>
        </a:stretch>
      </xdr:blipFill>
      <xdr:spPr>
        <a:xfrm>
          <a:off x="3752851" y="30013275"/>
          <a:ext cx="2662968" cy="1704975"/>
        </a:xfrm>
        <a:prstGeom prst="rect">
          <a:avLst/>
        </a:prstGeom>
      </xdr:spPr>
    </xdr:pic>
    <xdr:clientData/>
  </xdr:twoCellAnchor>
  <xdr:twoCellAnchor editAs="oneCell">
    <xdr:from>
      <xdr:col>2</xdr:col>
      <xdr:colOff>0</xdr:colOff>
      <xdr:row>1</xdr:row>
      <xdr:rowOff>0</xdr:rowOff>
    </xdr:from>
    <xdr:to>
      <xdr:col>5</xdr:col>
      <xdr:colOff>227802</xdr:colOff>
      <xdr:row>40</xdr:row>
      <xdr:rowOff>46830</xdr:rowOff>
    </xdr:to>
    <xdr:pic>
      <xdr:nvPicPr>
        <xdr:cNvPr id="6" name="Picture 5">
          <a:extLst>
            <a:ext uri="{FF2B5EF4-FFF2-40B4-BE49-F238E27FC236}">
              <a16:creationId xmlns:a16="http://schemas.microsoft.com/office/drawing/2014/main" id="{D6BFA848-6734-F430-1CBD-9F63DB621F1D}"/>
            </a:ext>
          </a:extLst>
        </xdr:cNvPr>
        <xdr:cNvPicPr>
          <a:picLocks noChangeAspect="1"/>
        </xdr:cNvPicPr>
      </xdr:nvPicPr>
      <xdr:blipFill>
        <a:blip xmlns:r="http://schemas.openxmlformats.org/officeDocument/2006/relationships" r:embed="rId2"/>
        <a:stretch>
          <a:fillRect/>
        </a:stretch>
      </xdr:blipFill>
      <xdr:spPr>
        <a:xfrm>
          <a:off x="1743075" y="161925"/>
          <a:ext cx="6380952" cy="6361905"/>
        </a:xfrm>
        <a:prstGeom prst="rect">
          <a:avLst/>
        </a:prstGeom>
      </xdr:spPr>
    </xdr:pic>
    <xdr:clientData/>
  </xdr:twoCellAnchor>
  <xdr:twoCellAnchor editAs="oneCell">
    <xdr:from>
      <xdr:col>2</xdr:col>
      <xdr:colOff>114300</xdr:colOff>
      <xdr:row>40</xdr:row>
      <xdr:rowOff>152400</xdr:rowOff>
    </xdr:from>
    <xdr:to>
      <xdr:col>3</xdr:col>
      <xdr:colOff>971148</xdr:colOff>
      <xdr:row>50</xdr:row>
      <xdr:rowOff>114102</xdr:rowOff>
    </xdr:to>
    <xdr:pic>
      <xdr:nvPicPr>
        <xdr:cNvPr id="7" name="Picture 6">
          <a:extLst>
            <a:ext uri="{FF2B5EF4-FFF2-40B4-BE49-F238E27FC236}">
              <a16:creationId xmlns:a16="http://schemas.microsoft.com/office/drawing/2014/main" id="{94688587-3DA8-EE20-BDF9-37E43EA32D40}"/>
            </a:ext>
          </a:extLst>
        </xdr:cNvPr>
        <xdr:cNvPicPr>
          <a:picLocks noChangeAspect="1"/>
        </xdr:cNvPicPr>
      </xdr:nvPicPr>
      <xdr:blipFill>
        <a:blip xmlns:r="http://schemas.openxmlformats.org/officeDocument/2006/relationships" r:embed="rId3"/>
        <a:stretch>
          <a:fillRect/>
        </a:stretch>
      </xdr:blipFill>
      <xdr:spPr>
        <a:xfrm>
          <a:off x="1857375" y="6629400"/>
          <a:ext cx="3219048" cy="1580952"/>
        </a:xfrm>
        <a:prstGeom prst="rect">
          <a:avLst/>
        </a:prstGeom>
      </xdr:spPr>
    </xdr:pic>
    <xdr:clientData/>
  </xdr:twoCellAnchor>
  <xdr:twoCellAnchor editAs="oneCell">
    <xdr:from>
      <xdr:col>5</xdr:col>
      <xdr:colOff>333375</xdr:colOff>
      <xdr:row>0</xdr:row>
      <xdr:rowOff>85725</xdr:rowOff>
    </xdr:from>
    <xdr:to>
      <xdr:col>8</xdr:col>
      <xdr:colOff>932684</xdr:colOff>
      <xdr:row>44</xdr:row>
      <xdr:rowOff>151501</xdr:rowOff>
    </xdr:to>
    <xdr:pic>
      <xdr:nvPicPr>
        <xdr:cNvPr id="8" name="Picture 7">
          <a:extLst>
            <a:ext uri="{FF2B5EF4-FFF2-40B4-BE49-F238E27FC236}">
              <a16:creationId xmlns:a16="http://schemas.microsoft.com/office/drawing/2014/main" id="{B696FF60-3B59-95DE-72DC-A6FDF431F10F}"/>
            </a:ext>
          </a:extLst>
        </xdr:cNvPr>
        <xdr:cNvPicPr>
          <a:picLocks noChangeAspect="1"/>
        </xdr:cNvPicPr>
      </xdr:nvPicPr>
      <xdr:blipFill>
        <a:blip xmlns:r="http://schemas.openxmlformats.org/officeDocument/2006/relationships" r:embed="rId4"/>
        <a:stretch>
          <a:fillRect/>
        </a:stretch>
      </xdr:blipFill>
      <xdr:spPr>
        <a:xfrm>
          <a:off x="8229600" y="85725"/>
          <a:ext cx="6123809" cy="7190476"/>
        </a:xfrm>
        <a:prstGeom prst="rect">
          <a:avLst/>
        </a:prstGeom>
      </xdr:spPr>
    </xdr:pic>
    <xdr:clientData/>
  </xdr:twoCellAnchor>
  <xdr:twoCellAnchor editAs="oneCell">
    <xdr:from>
      <xdr:col>8</xdr:col>
      <xdr:colOff>1200150</xdr:colOff>
      <xdr:row>17</xdr:row>
      <xdr:rowOff>124382</xdr:rowOff>
    </xdr:from>
    <xdr:to>
      <xdr:col>13</xdr:col>
      <xdr:colOff>762000</xdr:colOff>
      <xdr:row>56</xdr:row>
      <xdr:rowOff>19113</xdr:rowOff>
    </xdr:to>
    <xdr:pic>
      <xdr:nvPicPr>
        <xdr:cNvPr id="9" name="Picture 8">
          <a:extLst>
            <a:ext uri="{FF2B5EF4-FFF2-40B4-BE49-F238E27FC236}">
              <a16:creationId xmlns:a16="http://schemas.microsoft.com/office/drawing/2014/main" id="{A917CAFA-F054-BD19-88B4-29C1FA96B788}"/>
            </a:ext>
          </a:extLst>
        </xdr:cNvPr>
        <xdr:cNvPicPr>
          <a:picLocks noChangeAspect="1"/>
        </xdr:cNvPicPr>
      </xdr:nvPicPr>
      <xdr:blipFill>
        <a:blip xmlns:r="http://schemas.openxmlformats.org/officeDocument/2006/relationships" r:embed="rId5"/>
        <a:stretch>
          <a:fillRect/>
        </a:stretch>
      </xdr:blipFill>
      <xdr:spPr>
        <a:xfrm>
          <a:off x="14478000" y="2877107"/>
          <a:ext cx="6029325" cy="62288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485775</xdr:colOff>
      <xdr:row>1</xdr:row>
      <xdr:rowOff>104775</xdr:rowOff>
    </xdr:from>
    <xdr:to>
      <xdr:col>14</xdr:col>
      <xdr:colOff>65786</xdr:colOff>
      <xdr:row>16</xdr:row>
      <xdr:rowOff>275898</xdr:rowOff>
    </xdr:to>
    <xdr:pic>
      <xdr:nvPicPr>
        <xdr:cNvPr id="3" name="Picture 2">
          <a:extLst>
            <a:ext uri="{FF2B5EF4-FFF2-40B4-BE49-F238E27FC236}">
              <a16:creationId xmlns:a16="http://schemas.microsoft.com/office/drawing/2014/main" id="{4A222439-6281-43FC-840F-6AA3E2E7CF58}"/>
            </a:ext>
          </a:extLst>
        </xdr:cNvPr>
        <xdr:cNvPicPr>
          <a:picLocks noChangeAspect="1"/>
        </xdr:cNvPicPr>
      </xdr:nvPicPr>
      <xdr:blipFill>
        <a:blip xmlns:r="http://schemas.openxmlformats.org/officeDocument/2006/relationships" r:embed="rId1"/>
        <a:stretch>
          <a:fillRect/>
        </a:stretch>
      </xdr:blipFill>
      <xdr:spPr>
        <a:xfrm>
          <a:off x="10315575" y="266700"/>
          <a:ext cx="7114286" cy="261904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2009776</xdr:colOff>
      <xdr:row>165</xdr:row>
      <xdr:rowOff>0</xdr:rowOff>
    </xdr:from>
    <xdr:to>
      <xdr:col>3</xdr:col>
      <xdr:colOff>2310544</xdr:colOff>
      <xdr:row>175</xdr:row>
      <xdr:rowOff>85725</xdr:rowOff>
    </xdr:to>
    <xdr:pic>
      <xdr:nvPicPr>
        <xdr:cNvPr id="2" name="Imagen 1">
          <a:extLst>
            <a:ext uri="{FF2B5EF4-FFF2-40B4-BE49-F238E27FC236}">
              <a16:creationId xmlns:a16="http://schemas.microsoft.com/office/drawing/2014/main" id="{D71F161F-F5E9-466E-ADFB-80B7D9490670}"/>
            </a:ext>
          </a:extLst>
        </xdr:cNvPr>
        <xdr:cNvPicPr>
          <a:picLocks noChangeAspect="1"/>
        </xdr:cNvPicPr>
      </xdr:nvPicPr>
      <xdr:blipFill>
        <a:blip xmlns:r="http://schemas.openxmlformats.org/officeDocument/2006/relationships" r:embed="rId1"/>
        <a:stretch>
          <a:fillRect/>
        </a:stretch>
      </xdr:blipFill>
      <xdr:spPr>
        <a:xfrm>
          <a:off x="3752851" y="31108650"/>
          <a:ext cx="2662968" cy="1704975"/>
        </a:xfrm>
        <a:prstGeom prst="rect">
          <a:avLst/>
        </a:prstGeom>
      </xdr:spPr>
    </xdr:pic>
    <xdr:clientData/>
  </xdr:twoCellAnchor>
  <xdr:twoCellAnchor editAs="oneCell">
    <xdr:from>
      <xdr:col>2</xdr:col>
      <xdr:colOff>0</xdr:colOff>
      <xdr:row>1</xdr:row>
      <xdr:rowOff>0</xdr:rowOff>
    </xdr:from>
    <xdr:to>
      <xdr:col>5</xdr:col>
      <xdr:colOff>227802</xdr:colOff>
      <xdr:row>40</xdr:row>
      <xdr:rowOff>46830</xdr:rowOff>
    </xdr:to>
    <xdr:pic>
      <xdr:nvPicPr>
        <xdr:cNvPr id="3" name="Picture 2">
          <a:extLst>
            <a:ext uri="{FF2B5EF4-FFF2-40B4-BE49-F238E27FC236}">
              <a16:creationId xmlns:a16="http://schemas.microsoft.com/office/drawing/2014/main" id="{48F9CF61-7AD1-4859-B52F-89A16B968D9A}"/>
            </a:ext>
          </a:extLst>
        </xdr:cNvPr>
        <xdr:cNvPicPr>
          <a:picLocks noChangeAspect="1"/>
        </xdr:cNvPicPr>
      </xdr:nvPicPr>
      <xdr:blipFill>
        <a:blip xmlns:r="http://schemas.openxmlformats.org/officeDocument/2006/relationships" r:embed="rId2"/>
        <a:stretch>
          <a:fillRect/>
        </a:stretch>
      </xdr:blipFill>
      <xdr:spPr>
        <a:xfrm>
          <a:off x="1743075" y="161925"/>
          <a:ext cx="6380952" cy="6361905"/>
        </a:xfrm>
        <a:prstGeom prst="rect">
          <a:avLst/>
        </a:prstGeom>
      </xdr:spPr>
    </xdr:pic>
    <xdr:clientData/>
  </xdr:twoCellAnchor>
  <xdr:twoCellAnchor editAs="oneCell">
    <xdr:from>
      <xdr:col>2</xdr:col>
      <xdr:colOff>114300</xdr:colOff>
      <xdr:row>40</xdr:row>
      <xdr:rowOff>152400</xdr:rowOff>
    </xdr:from>
    <xdr:to>
      <xdr:col>3</xdr:col>
      <xdr:colOff>971148</xdr:colOff>
      <xdr:row>50</xdr:row>
      <xdr:rowOff>114102</xdr:rowOff>
    </xdr:to>
    <xdr:pic>
      <xdr:nvPicPr>
        <xdr:cNvPr id="4" name="Picture 3">
          <a:extLst>
            <a:ext uri="{FF2B5EF4-FFF2-40B4-BE49-F238E27FC236}">
              <a16:creationId xmlns:a16="http://schemas.microsoft.com/office/drawing/2014/main" id="{1274323E-1BC5-4E4E-BEE3-5BA43D47DF94}"/>
            </a:ext>
          </a:extLst>
        </xdr:cNvPr>
        <xdr:cNvPicPr>
          <a:picLocks noChangeAspect="1"/>
        </xdr:cNvPicPr>
      </xdr:nvPicPr>
      <xdr:blipFill>
        <a:blip xmlns:r="http://schemas.openxmlformats.org/officeDocument/2006/relationships" r:embed="rId3"/>
        <a:stretch>
          <a:fillRect/>
        </a:stretch>
      </xdr:blipFill>
      <xdr:spPr>
        <a:xfrm>
          <a:off x="1857375" y="6629400"/>
          <a:ext cx="3219048" cy="1580952"/>
        </a:xfrm>
        <a:prstGeom prst="rect">
          <a:avLst/>
        </a:prstGeom>
      </xdr:spPr>
    </xdr:pic>
    <xdr:clientData/>
  </xdr:twoCellAnchor>
  <xdr:twoCellAnchor editAs="oneCell">
    <xdr:from>
      <xdr:col>5</xdr:col>
      <xdr:colOff>114300</xdr:colOff>
      <xdr:row>1</xdr:row>
      <xdr:rowOff>76200</xdr:rowOff>
    </xdr:from>
    <xdr:to>
      <xdr:col>8</xdr:col>
      <xdr:colOff>713609</xdr:colOff>
      <xdr:row>45</xdr:row>
      <xdr:rowOff>141976</xdr:rowOff>
    </xdr:to>
    <xdr:pic>
      <xdr:nvPicPr>
        <xdr:cNvPr id="5" name="Picture 4">
          <a:extLst>
            <a:ext uri="{FF2B5EF4-FFF2-40B4-BE49-F238E27FC236}">
              <a16:creationId xmlns:a16="http://schemas.microsoft.com/office/drawing/2014/main" id="{52BF39F4-2276-478F-9FF3-2BA727E93371}"/>
            </a:ext>
          </a:extLst>
        </xdr:cNvPr>
        <xdr:cNvPicPr>
          <a:picLocks noChangeAspect="1"/>
        </xdr:cNvPicPr>
      </xdr:nvPicPr>
      <xdr:blipFill>
        <a:blip xmlns:r="http://schemas.openxmlformats.org/officeDocument/2006/relationships" r:embed="rId4"/>
        <a:stretch>
          <a:fillRect/>
        </a:stretch>
      </xdr:blipFill>
      <xdr:spPr>
        <a:xfrm>
          <a:off x="8010525" y="238125"/>
          <a:ext cx="6123809" cy="7190476"/>
        </a:xfrm>
        <a:prstGeom prst="rect">
          <a:avLst/>
        </a:prstGeom>
      </xdr:spPr>
    </xdr:pic>
    <xdr:clientData/>
  </xdr:twoCellAnchor>
  <xdr:twoCellAnchor editAs="oneCell">
    <xdr:from>
      <xdr:col>8</xdr:col>
      <xdr:colOff>1200150</xdr:colOff>
      <xdr:row>17</xdr:row>
      <xdr:rowOff>124382</xdr:rowOff>
    </xdr:from>
    <xdr:to>
      <xdr:col>13</xdr:col>
      <xdr:colOff>762000</xdr:colOff>
      <xdr:row>56</xdr:row>
      <xdr:rowOff>19113</xdr:rowOff>
    </xdr:to>
    <xdr:pic>
      <xdr:nvPicPr>
        <xdr:cNvPr id="6" name="Picture 5">
          <a:extLst>
            <a:ext uri="{FF2B5EF4-FFF2-40B4-BE49-F238E27FC236}">
              <a16:creationId xmlns:a16="http://schemas.microsoft.com/office/drawing/2014/main" id="{37E37402-4E35-481C-9B44-D02277E259CA}"/>
            </a:ext>
          </a:extLst>
        </xdr:cNvPr>
        <xdr:cNvPicPr>
          <a:picLocks noChangeAspect="1"/>
        </xdr:cNvPicPr>
      </xdr:nvPicPr>
      <xdr:blipFill>
        <a:blip xmlns:r="http://schemas.openxmlformats.org/officeDocument/2006/relationships" r:embed="rId5"/>
        <a:stretch>
          <a:fillRect/>
        </a:stretch>
      </xdr:blipFill>
      <xdr:spPr>
        <a:xfrm>
          <a:off x="14620875" y="2877107"/>
          <a:ext cx="6029325" cy="62288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24</xdr:col>
      <xdr:colOff>659146</xdr:colOff>
      <xdr:row>58</xdr:row>
      <xdr:rowOff>145035</xdr:rowOff>
    </xdr:from>
    <xdr:ext cx="6257925" cy="4105275"/>
    <xdr:pic>
      <xdr:nvPicPr>
        <xdr:cNvPr id="2" name="image2.png" title="Imagen">
          <a:extLst>
            <a:ext uri="{FF2B5EF4-FFF2-40B4-BE49-F238E27FC236}">
              <a16:creationId xmlns:a16="http://schemas.microsoft.com/office/drawing/2014/main" id="{4528A788-79F3-48B7-AD97-3BC36F37CEF7}"/>
            </a:ext>
          </a:extLst>
        </xdr:cNvPr>
        <xdr:cNvPicPr preferRelativeResize="0"/>
      </xdr:nvPicPr>
      <xdr:blipFill>
        <a:blip xmlns:r="http://schemas.openxmlformats.org/officeDocument/2006/relationships" r:embed="rId1" cstate="print"/>
        <a:stretch>
          <a:fillRect/>
        </a:stretch>
      </xdr:blipFill>
      <xdr:spPr>
        <a:xfrm>
          <a:off x="34072846" y="11194035"/>
          <a:ext cx="6257925" cy="4105275"/>
        </a:xfrm>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twoCellAnchor editAs="oneCell">
    <xdr:from>
      <xdr:col>20</xdr:col>
      <xdr:colOff>257176</xdr:colOff>
      <xdr:row>6</xdr:row>
      <xdr:rowOff>133350</xdr:rowOff>
    </xdr:from>
    <xdr:to>
      <xdr:col>25</xdr:col>
      <xdr:colOff>381001</xdr:colOff>
      <xdr:row>20</xdr:row>
      <xdr:rowOff>27934</xdr:rowOff>
    </xdr:to>
    <xdr:pic>
      <xdr:nvPicPr>
        <xdr:cNvPr id="2" name="Imagen 1">
          <a:extLst>
            <a:ext uri="{FF2B5EF4-FFF2-40B4-BE49-F238E27FC236}">
              <a16:creationId xmlns:a16="http://schemas.microsoft.com/office/drawing/2014/main" id="{1C67359E-319A-4B7B-9381-CADBADEDB5E6}"/>
            </a:ext>
          </a:extLst>
        </xdr:cNvPr>
        <xdr:cNvPicPr>
          <a:picLocks noChangeAspect="1"/>
        </xdr:cNvPicPr>
      </xdr:nvPicPr>
      <xdr:blipFill>
        <a:blip xmlns:r="http://schemas.openxmlformats.org/officeDocument/2006/relationships" r:embed="rId1"/>
        <a:stretch>
          <a:fillRect/>
        </a:stretch>
      </xdr:blipFill>
      <xdr:spPr>
        <a:xfrm>
          <a:off x="19602451" y="1219200"/>
          <a:ext cx="4171950" cy="2428234"/>
        </a:xfrm>
        <a:prstGeom prst="rect">
          <a:avLst/>
        </a:prstGeom>
      </xdr:spPr>
    </xdr:pic>
    <xdr:clientData/>
  </xdr:twoCellAnchor>
  <xdr:twoCellAnchor editAs="oneCell">
    <xdr:from>
      <xdr:col>20</xdr:col>
      <xdr:colOff>238125</xdr:colOff>
      <xdr:row>22</xdr:row>
      <xdr:rowOff>161925</xdr:rowOff>
    </xdr:from>
    <xdr:to>
      <xdr:col>25</xdr:col>
      <xdr:colOff>390525</xdr:colOff>
      <xdr:row>36</xdr:row>
      <xdr:rowOff>6138</xdr:rowOff>
    </xdr:to>
    <xdr:pic>
      <xdr:nvPicPr>
        <xdr:cNvPr id="3" name="Imagen 2">
          <a:extLst>
            <a:ext uri="{FF2B5EF4-FFF2-40B4-BE49-F238E27FC236}">
              <a16:creationId xmlns:a16="http://schemas.microsoft.com/office/drawing/2014/main" id="{EF6ADBAE-9F20-43AB-9537-77B2AA5F034F}"/>
            </a:ext>
          </a:extLst>
        </xdr:cNvPr>
        <xdr:cNvPicPr>
          <a:picLocks noChangeAspect="1"/>
        </xdr:cNvPicPr>
      </xdr:nvPicPr>
      <xdr:blipFill>
        <a:blip xmlns:r="http://schemas.openxmlformats.org/officeDocument/2006/relationships" r:embed="rId2"/>
        <a:stretch>
          <a:fillRect/>
        </a:stretch>
      </xdr:blipFill>
      <xdr:spPr>
        <a:xfrm>
          <a:off x="19583400" y="4143375"/>
          <a:ext cx="4200525" cy="2377863"/>
        </a:xfrm>
        <a:prstGeom prst="rect">
          <a:avLst/>
        </a:prstGeom>
      </xdr:spPr>
    </xdr:pic>
    <xdr:clientData/>
  </xdr:twoCellAnchor>
  <xdr:twoCellAnchor editAs="oneCell">
    <xdr:from>
      <xdr:col>20</xdr:col>
      <xdr:colOff>238125</xdr:colOff>
      <xdr:row>38</xdr:row>
      <xdr:rowOff>57150</xdr:rowOff>
    </xdr:from>
    <xdr:to>
      <xdr:col>25</xdr:col>
      <xdr:colOff>704850</xdr:colOff>
      <xdr:row>52</xdr:row>
      <xdr:rowOff>134701</xdr:rowOff>
    </xdr:to>
    <xdr:pic>
      <xdr:nvPicPr>
        <xdr:cNvPr id="4" name="Imagen 3">
          <a:extLst>
            <a:ext uri="{FF2B5EF4-FFF2-40B4-BE49-F238E27FC236}">
              <a16:creationId xmlns:a16="http://schemas.microsoft.com/office/drawing/2014/main" id="{2F8D1579-59DA-41B7-9F96-42A9F09C48D7}"/>
            </a:ext>
          </a:extLst>
        </xdr:cNvPr>
        <xdr:cNvPicPr>
          <a:picLocks noChangeAspect="1"/>
        </xdr:cNvPicPr>
      </xdr:nvPicPr>
      <xdr:blipFill>
        <a:blip xmlns:r="http://schemas.openxmlformats.org/officeDocument/2006/relationships" r:embed="rId3"/>
        <a:stretch>
          <a:fillRect/>
        </a:stretch>
      </xdr:blipFill>
      <xdr:spPr>
        <a:xfrm>
          <a:off x="19583400" y="6934200"/>
          <a:ext cx="4514850" cy="261120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20</xdr:col>
      <xdr:colOff>257176</xdr:colOff>
      <xdr:row>6</xdr:row>
      <xdr:rowOff>133350</xdr:rowOff>
    </xdr:from>
    <xdr:to>
      <xdr:col>25</xdr:col>
      <xdr:colOff>381001</xdr:colOff>
      <xdr:row>20</xdr:row>
      <xdr:rowOff>27934</xdr:rowOff>
    </xdr:to>
    <xdr:pic>
      <xdr:nvPicPr>
        <xdr:cNvPr id="2" name="Imagen 1">
          <a:extLst>
            <a:ext uri="{FF2B5EF4-FFF2-40B4-BE49-F238E27FC236}">
              <a16:creationId xmlns:a16="http://schemas.microsoft.com/office/drawing/2014/main" id="{325C462F-13F5-4F86-8255-0D4AD7E709F8}"/>
            </a:ext>
          </a:extLst>
        </xdr:cNvPr>
        <xdr:cNvPicPr>
          <a:picLocks noChangeAspect="1"/>
        </xdr:cNvPicPr>
      </xdr:nvPicPr>
      <xdr:blipFill>
        <a:blip xmlns:r="http://schemas.openxmlformats.org/officeDocument/2006/relationships" r:embed="rId1"/>
        <a:stretch>
          <a:fillRect/>
        </a:stretch>
      </xdr:blipFill>
      <xdr:spPr>
        <a:xfrm>
          <a:off x="18954751" y="1219200"/>
          <a:ext cx="4171950" cy="2428234"/>
        </a:xfrm>
        <a:prstGeom prst="rect">
          <a:avLst/>
        </a:prstGeom>
      </xdr:spPr>
    </xdr:pic>
    <xdr:clientData/>
  </xdr:twoCellAnchor>
  <xdr:twoCellAnchor editAs="oneCell">
    <xdr:from>
      <xdr:col>20</xdr:col>
      <xdr:colOff>238125</xdr:colOff>
      <xdr:row>22</xdr:row>
      <xdr:rowOff>161925</xdr:rowOff>
    </xdr:from>
    <xdr:to>
      <xdr:col>25</xdr:col>
      <xdr:colOff>390525</xdr:colOff>
      <xdr:row>36</xdr:row>
      <xdr:rowOff>6138</xdr:rowOff>
    </xdr:to>
    <xdr:pic>
      <xdr:nvPicPr>
        <xdr:cNvPr id="3" name="Imagen 2">
          <a:extLst>
            <a:ext uri="{FF2B5EF4-FFF2-40B4-BE49-F238E27FC236}">
              <a16:creationId xmlns:a16="http://schemas.microsoft.com/office/drawing/2014/main" id="{DFE607F7-CC30-4D8E-8B6F-021FCF37D8F2}"/>
            </a:ext>
          </a:extLst>
        </xdr:cNvPr>
        <xdr:cNvPicPr>
          <a:picLocks noChangeAspect="1"/>
        </xdr:cNvPicPr>
      </xdr:nvPicPr>
      <xdr:blipFill>
        <a:blip xmlns:r="http://schemas.openxmlformats.org/officeDocument/2006/relationships" r:embed="rId2"/>
        <a:stretch>
          <a:fillRect/>
        </a:stretch>
      </xdr:blipFill>
      <xdr:spPr>
        <a:xfrm>
          <a:off x="18935700" y="4143375"/>
          <a:ext cx="4200525" cy="2377863"/>
        </a:xfrm>
        <a:prstGeom prst="rect">
          <a:avLst/>
        </a:prstGeom>
      </xdr:spPr>
    </xdr:pic>
    <xdr:clientData/>
  </xdr:twoCellAnchor>
  <xdr:twoCellAnchor editAs="oneCell">
    <xdr:from>
      <xdr:col>20</xdr:col>
      <xdr:colOff>238125</xdr:colOff>
      <xdr:row>38</xdr:row>
      <xdr:rowOff>57150</xdr:rowOff>
    </xdr:from>
    <xdr:to>
      <xdr:col>25</xdr:col>
      <xdr:colOff>704850</xdr:colOff>
      <xdr:row>52</xdr:row>
      <xdr:rowOff>134701</xdr:rowOff>
    </xdr:to>
    <xdr:pic>
      <xdr:nvPicPr>
        <xdr:cNvPr id="4" name="Imagen 3">
          <a:extLst>
            <a:ext uri="{FF2B5EF4-FFF2-40B4-BE49-F238E27FC236}">
              <a16:creationId xmlns:a16="http://schemas.microsoft.com/office/drawing/2014/main" id="{61B29E1A-55F0-46DE-9CB9-B92F90834154}"/>
            </a:ext>
          </a:extLst>
        </xdr:cNvPr>
        <xdr:cNvPicPr>
          <a:picLocks noChangeAspect="1"/>
        </xdr:cNvPicPr>
      </xdr:nvPicPr>
      <xdr:blipFill>
        <a:blip xmlns:r="http://schemas.openxmlformats.org/officeDocument/2006/relationships" r:embed="rId3"/>
        <a:stretch>
          <a:fillRect/>
        </a:stretch>
      </xdr:blipFill>
      <xdr:spPr>
        <a:xfrm>
          <a:off x="18935700" y="6934200"/>
          <a:ext cx="4514850" cy="261120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819151</xdr:colOff>
      <xdr:row>160</xdr:row>
      <xdr:rowOff>152400</xdr:rowOff>
    </xdr:from>
    <xdr:to>
      <xdr:col>4</xdr:col>
      <xdr:colOff>996094</xdr:colOff>
      <xdr:row>171</xdr:row>
      <xdr:rowOff>76200</xdr:rowOff>
    </xdr:to>
    <xdr:pic>
      <xdr:nvPicPr>
        <xdr:cNvPr id="2" name="Imagen 1">
          <a:extLst>
            <a:ext uri="{FF2B5EF4-FFF2-40B4-BE49-F238E27FC236}">
              <a16:creationId xmlns:a16="http://schemas.microsoft.com/office/drawing/2014/main" id="{E40677DB-8D42-4B96-9769-DB0CE61397BA}"/>
            </a:ext>
          </a:extLst>
        </xdr:cNvPr>
        <xdr:cNvPicPr>
          <a:picLocks noChangeAspect="1"/>
        </xdr:cNvPicPr>
      </xdr:nvPicPr>
      <xdr:blipFill>
        <a:blip xmlns:r="http://schemas.openxmlformats.org/officeDocument/2006/relationships" r:embed="rId1"/>
        <a:stretch>
          <a:fillRect/>
        </a:stretch>
      </xdr:blipFill>
      <xdr:spPr>
        <a:xfrm>
          <a:off x="4924426" y="29622750"/>
          <a:ext cx="2662968" cy="1704975"/>
        </a:xfrm>
        <a:prstGeom prst="rect">
          <a:avLst/>
        </a:prstGeom>
      </xdr:spPr>
    </xdr:pic>
    <xdr:clientData/>
  </xdr:twoCellAnchor>
  <xdr:twoCellAnchor editAs="oneCell">
    <xdr:from>
      <xdr:col>2</xdr:col>
      <xdr:colOff>0</xdr:colOff>
      <xdr:row>1</xdr:row>
      <xdr:rowOff>76200</xdr:rowOff>
    </xdr:from>
    <xdr:to>
      <xdr:col>5</xdr:col>
      <xdr:colOff>427802</xdr:colOff>
      <xdr:row>40</xdr:row>
      <xdr:rowOff>151601</xdr:rowOff>
    </xdr:to>
    <xdr:pic>
      <xdr:nvPicPr>
        <xdr:cNvPr id="6" name="Picture 5">
          <a:extLst>
            <a:ext uri="{FF2B5EF4-FFF2-40B4-BE49-F238E27FC236}">
              <a16:creationId xmlns:a16="http://schemas.microsoft.com/office/drawing/2014/main" id="{E69D0E97-D62A-45B0-95A1-22118EDF9120}"/>
            </a:ext>
          </a:extLst>
        </xdr:cNvPr>
        <xdr:cNvPicPr>
          <a:picLocks noChangeAspect="1"/>
        </xdr:cNvPicPr>
      </xdr:nvPicPr>
      <xdr:blipFill>
        <a:blip xmlns:r="http://schemas.openxmlformats.org/officeDocument/2006/relationships" r:embed="rId2"/>
        <a:stretch>
          <a:fillRect/>
        </a:stretch>
      </xdr:blipFill>
      <xdr:spPr>
        <a:xfrm>
          <a:off x="1743075" y="238125"/>
          <a:ext cx="6580952" cy="6390476"/>
        </a:xfrm>
        <a:prstGeom prst="rect">
          <a:avLst/>
        </a:prstGeom>
      </xdr:spPr>
    </xdr:pic>
    <xdr:clientData/>
  </xdr:twoCellAnchor>
  <xdr:twoCellAnchor editAs="oneCell">
    <xdr:from>
      <xdr:col>2</xdr:col>
      <xdr:colOff>133350</xdr:colOff>
      <xdr:row>38</xdr:row>
      <xdr:rowOff>104775</xdr:rowOff>
    </xdr:from>
    <xdr:to>
      <xdr:col>5</xdr:col>
      <xdr:colOff>484962</xdr:colOff>
      <xdr:row>53</xdr:row>
      <xdr:rowOff>152090</xdr:rowOff>
    </xdr:to>
    <xdr:pic>
      <xdr:nvPicPr>
        <xdr:cNvPr id="7" name="Picture 6">
          <a:extLst>
            <a:ext uri="{FF2B5EF4-FFF2-40B4-BE49-F238E27FC236}">
              <a16:creationId xmlns:a16="http://schemas.microsoft.com/office/drawing/2014/main" id="{EE6A65FD-D567-4D0D-A956-2541926654F6}"/>
            </a:ext>
          </a:extLst>
        </xdr:cNvPr>
        <xdr:cNvPicPr>
          <a:picLocks noChangeAspect="1"/>
        </xdr:cNvPicPr>
      </xdr:nvPicPr>
      <xdr:blipFill>
        <a:blip xmlns:r="http://schemas.openxmlformats.org/officeDocument/2006/relationships" r:embed="rId3"/>
        <a:stretch>
          <a:fillRect/>
        </a:stretch>
      </xdr:blipFill>
      <xdr:spPr>
        <a:xfrm>
          <a:off x="1876425" y="6257925"/>
          <a:ext cx="6504762" cy="2476190"/>
        </a:xfrm>
        <a:prstGeom prst="rect">
          <a:avLst/>
        </a:prstGeom>
      </xdr:spPr>
    </xdr:pic>
    <xdr:clientData/>
  </xdr:twoCellAnchor>
  <xdr:twoCellAnchor editAs="oneCell">
    <xdr:from>
      <xdr:col>5</xdr:col>
      <xdr:colOff>247650</xdr:colOff>
      <xdr:row>1</xdr:row>
      <xdr:rowOff>0</xdr:rowOff>
    </xdr:from>
    <xdr:to>
      <xdr:col>9</xdr:col>
      <xdr:colOff>170619</xdr:colOff>
      <xdr:row>48</xdr:row>
      <xdr:rowOff>37144</xdr:rowOff>
    </xdr:to>
    <xdr:pic>
      <xdr:nvPicPr>
        <xdr:cNvPr id="8" name="Picture 7">
          <a:extLst>
            <a:ext uri="{FF2B5EF4-FFF2-40B4-BE49-F238E27FC236}">
              <a16:creationId xmlns:a16="http://schemas.microsoft.com/office/drawing/2014/main" id="{6DEF4072-FBC6-43BE-AB12-D516FCFE9154}"/>
            </a:ext>
          </a:extLst>
        </xdr:cNvPr>
        <xdr:cNvPicPr>
          <a:picLocks noChangeAspect="1"/>
        </xdr:cNvPicPr>
      </xdr:nvPicPr>
      <xdr:blipFill>
        <a:blip xmlns:r="http://schemas.openxmlformats.org/officeDocument/2006/relationships" r:embed="rId4"/>
        <a:stretch>
          <a:fillRect/>
        </a:stretch>
      </xdr:blipFill>
      <xdr:spPr>
        <a:xfrm>
          <a:off x="8143875" y="161925"/>
          <a:ext cx="6647619" cy="7647619"/>
        </a:xfrm>
        <a:prstGeom prst="rect">
          <a:avLst/>
        </a:prstGeom>
      </xdr:spPr>
    </xdr:pic>
    <xdr:clientData/>
  </xdr:twoCellAnchor>
  <xdr:twoCellAnchor editAs="oneCell">
    <xdr:from>
      <xdr:col>5</xdr:col>
      <xdr:colOff>295275</xdr:colOff>
      <xdr:row>48</xdr:row>
      <xdr:rowOff>123825</xdr:rowOff>
    </xdr:from>
    <xdr:to>
      <xdr:col>7</xdr:col>
      <xdr:colOff>85233</xdr:colOff>
      <xdr:row>56</xdr:row>
      <xdr:rowOff>123661</xdr:rowOff>
    </xdr:to>
    <xdr:pic>
      <xdr:nvPicPr>
        <xdr:cNvPr id="9" name="Picture 8">
          <a:extLst>
            <a:ext uri="{FF2B5EF4-FFF2-40B4-BE49-F238E27FC236}">
              <a16:creationId xmlns:a16="http://schemas.microsoft.com/office/drawing/2014/main" id="{F0E36F19-E3AE-4AB6-B0D3-1D54DBE317CF}"/>
            </a:ext>
          </a:extLst>
        </xdr:cNvPr>
        <xdr:cNvPicPr>
          <a:picLocks noChangeAspect="1"/>
        </xdr:cNvPicPr>
      </xdr:nvPicPr>
      <xdr:blipFill>
        <a:blip xmlns:r="http://schemas.openxmlformats.org/officeDocument/2006/relationships" r:embed="rId5"/>
        <a:stretch>
          <a:fillRect/>
        </a:stretch>
      </xdr:blipFill>
      <xdr:spPr>
        <a:xfrm>
          <a:off x="8191500" y="7896225"/>
          <a:ext cx="3933333" cy="1314286"/>
        </a:xfrm>
        <a:prstGeom prst="rect">
          <a:avLst/>
        </a:prstGeom>
      </xdr:spPr>
    </xdr:pic>
    <xdr:clientData/>
  </xdr:twoCellAnchor>
  <xdr:twoCellAnchor editAs="oneCell">
    <xdr:from>
      <xdr:col>9</xdr:col>
      <xdr:colOff>285750</xdr:colOff>
      <xdr:row>16</xdr:row>
      <xdr:rowOff>66675</xdr:rowOff>
    </xdr:from>
    <xdr:to>
      <xdr:col>14</xdr:col>
      <xdr:colOff>513506</xdr:colOff>
      <xdr:row>55</xdr:row>
      <xdr:rowOff>8743</xdr:rowOff>
    </xdr:to>
    <xdr:pic>
      <xdr:nvPicPr>
        <xdr:cNvPr id="10" name="Picture 9">
          <a:extLst>
            <a:ext uri="{FF2B5EF4-FFF2-40B4-BE49-F238E27FC236}">
              <a16:creationId xmlns:a16="http://schemas.microsoft.com/office/drawing/2014/main" id="{D4A6C49E-7DEB-480C-A204-D6F3D075D35F}"/>
            </a:ext>
          </a:extLst>
        </xdr:cNvPr>
        <xdr:cNvPicPr>
          <a:picLocks noChangeAspect="1"/>
        </xdr:cNvPicPr>
      </xdr:nvPicPr>
      <xdr:blipFill>
        <a:blip xmlns:r="http://schemas.openxmlformats.org/officeDocument/2006/relationships" r:embed="rId6"/>
        <a:stretch>
          <a:fillRect/>
        </a:stretch>
      </xdr:blipFill>
      <xdr:spPr>
        <a:xfrm>
          <a:off x="14906625" y="2657475"/>
          <a:ext cx="6752381" cy="62571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212481</xdr:colOff>
      <xdr:row>36</xdr:row>
      <xdr:rowOff>95250</xdr:rowOff>
    </xdr:from>
    <xdr:to>
      <xdr:col>16</xdr:col>
      <xdr:colOff>392976</xdr:colOff>
      <xdr:row>54</xdr:row>
      <xdr:rowOff>47999</xdr:rowOff>
    </xdr:to>
    <xdr:pic>
      <xdr:nvPicPr>
        <xdr:cNvPr id="2" name="Picture 1">
          <a:extLst>
            <a:ext uri="{FF2B5EF4-FFF2-40B4-BE49-F238E27FC236}">
              <a16:creationId xmlns:a16="http://schemas.microsoft.com/office/drawing/2014/main" id="{E5E2B4E2-5F10-7F15-66C2-0B22E4E104C9}"/>
            </a:ext>
          </a:extLst>
        </xdr:cNvPr>
        <xdr:cNvPicPr>
          <a:picLocks noChangeAspect="1"/>
        </xdr:cNvPicPr>
      </xdr:nvPicPr>
      <xdr:blipFill>
        <a:blip xmlns:r="http://schemas.openxmlformats.org/officeDocument/2006/relationships" r:embed="rId1"/>
        <a:stretch>
          <a:fillRect/>
        </a:stretch>
      </xdr:blipFill>
      <xdr:spPr>
        <a:xfrm>
          <a:off x="6293827" y="5898173"/>
          <a:ext cx="3829303" cy="2854211"/>
        </a:xfrm>
        <a:prstGeom prst="rect">
          <a:avLst/>
        </a:prstGeom>
      </xdr:spPr>
    </xdr:pic>
    <xdr:clientData/>
  </xdr:twoCellAnchor>
  <xdr:twoCellAnchor editAs="oneCell">
    <xdr:from>
      <xdr:col>10</xdr:col>
      <xdr:colOff>207351</xdr:colOff>
      <xdr:row>1</xdr:row>
      <xdr:rowOff>108439</xdr:rowOff>
    </xdr:from>
    <xdr:to>
      <xdr:col>17</xdr:col>
      <xdr:colOff>454270</xdr:colOff>
      <xdr:row>36</xdr:row>
      <xdr:rowOff>72411</xdr:rowOff>
    </xdr:to>
    <xdr:pic>
      <xdr:nvPicPr>
        <xdr:cNvPr id="3" name="Picture 2">
          <a:extLst>
            <a:ext uri="{FF2B5EF4-FFF2-40B4-BE49-F238E27FC236}">
              <a16:creationId xmlns:a16="http://schemas.microsoft.com/office/drawing/2014/main" id="{5376598F-0F8D-D7F1-CEA7-1418980296E5}"/>
            </a:ext>
          </a:extLst>
        </xdr:cNvPr>
        <xdr:cNvPicPr>
          <a:picLocks noChangeAspect="1"/>
        </xdr:cNvPicPr>
      </xdr:nvPicPr>
      <xdr:blipFill>
        <a:blip xmlns:r="http://schemas.openxmlformats.org/officeDocument/2006/relationships" r:embed="rId2"/>
        <a:stretch>
          <a:fillRect/>
        </a:stretch>
      </xdr:blipFill>
      <xdr:spPr>
        <a:xfrm>
          <a:off x="6288697" y="269631"/>
          <a:ext cx="4503861" cy="5605703"/>
        </a:xfrm>
        <a:prstGeom prst="rect">
          <a:avLst/>
        </a:prstGeom>
      </xdr:spPr>
    </xdr:pic>
    <xdr:clientData/>
  </xdr:twoCellAnchor>
  <xdr:twoCellAnchor editAs="oneCell">
    <xdr:from>
      <xdr:col>0</xdr:col>
      <xdr:colOff>238125</xdr:colOff>
      <xdr:row>2</xdr:row>
      <xdr:rowOff>76200</xdr:rowOff>
    </xdr:from>
    <xdr:to>
      <xdr:col>9</xdr:col>
      <xdr:colOff>161925</xdr:colOff>
      <xdr:row>41</xdr:row>
      <xdr:rowOff>118109</xdr:rowOff>
    </xdr:to>
    <xdr:pic>
      <xdr:nvPicPr>
        <xdr:cNvPr id="4" name="Picture 3">
          <a:extLst>
            <a:ext uri="{FF2B5EF4-FFF2-40B4-BE49-F238E27FC236}">
              <a16:creationId xmlns:a16="http://schemas.microsoft.com/office/drawing/2014/main" id="{57B495C5-6420-838D-3B81-58B48EE3CD33}"/>
            </a:ext>
          </a:extLst>
        </xdr:cNvPr>
        <xdr:cNvPicPr>
          <a:picLocks noChangeAspect="1"/>
        </xdr:cNvPicPr>
      </xdr:nvPicPr>
      <xdr:blipFill>
        <a:blip xmlns:r="http://schemas.openxmlformats.org/officeDocument/2006/relationships" r:embed="rId3"/>
        <a:stretch>
          <a:fillRect/>
        </a:stretch>
      </xdr:blipFill>
      <xdr:spPr>
        <a:xfrm>
          <a:off x="238125" y="400050"/>
          <a:ext cx="5410200" cy="635698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20</xdr:col>
      <xdr:colOff>257176</xdr:colOff>
      <xdr:row>6</xdr:row>
      <xdr:rowOff>133350</xdr:rowOff>
    </xdr:from>
    <xdr:to>
      <xdr:col>25</xdr:col>
      <xdr:colOff>381001</xdr:colOff>
      <xdr:row>20</xdr:row>
      <xdr:rowOff>27934</xdr:rowOff>
    </xdr:to>
    <xdr:pic>
      <xdr:nvPicPr>
        <xdr:cNvPr id="2" name="Imagen 1">
          <a:extLst>
            <a:ext uri="{FF2B5EF4-FFF2-40B4-BE49-F238E27FC236}">
              <a16:creationId xmlns:a16="http://schemas.microsoft.com/office/drawing/2014/main" id="{571C8847-9E48-4AAB-A2CC-D9207F3EAEC6}"/>
            </a:ext>
          </a:extLst>
        </xdr:cNvPr>
        <xdr:cNvPicPr>
          <a:picLocks noChangeAspect="1"/>
        </xdr:cNvPicPr>
      </xdr:nvPicPr>
      <xdr:blipFill>
        <a:blip xmlns:r="http://schemas.openxmlformats.org/officeDocument/2006/relationships" r:embed="rId1" cstate="print"/>
        <a:stretch>
          <a:fillRect/>
        </a:stretch>
      </xdr:blipFill>
      <xdr:spPr>
        <a:xfrm>
          <a:off x="18954751" y="1219200"/>
          <a:ext cx="4171950" cy="2428234"/>
        </a:xfrm>
        <a:prstGeom prst="rect">
          <a:avLst/>
        </a:prstGeom>
      </xdr:spPr>
    </xdr:pic>
    <xdr:clientData/>
  </xdr:twoCellAnchor>
  <xdr:twoCellAnchor editAs="oneCell">
    <xdr:from>
      <xdr:col>20</xdr:col>
      <xdr:colOff>238125</xdr:colOff>
      <xdr:row>22</xdr:row>
      <xdr:rowOff>161925</xdr:rowOff>
    </xdr:from>
    <xdr:to>
      <xdr:col>25</xdr:col>
      <xdr:colOff>390525</xdr:colOff>
      <xdr:row>36</xdr:row>
      <xdr:rowOff>6138</xdr:rowOff>
    </xdr:to>
    <xdr:pic>
      <xdr:nvPicPr>
        <xdr:cNvPr id="3" name="Imagen 2">
          <a:extLst>
            <a:ext uri="{FF2B5EF4-FFF2-40B4-BE49-F238E27FC236}">
              <a16:creationId xmlns:a16="http://schemas.microsoft.com/office/drawing/2014/main" id="{1A0AEFDF-4FCB-4CF5-B745-7B98936DFF30}"/>
            </a:ext>
          </a:extLst>
        </xdr:cNvPr>
        <xdr:cNvPicPr>
          <a:picLocks noChangeAspect="1"/>
        </xdr:cNvPicPr>
      </xdr:nvPicPr>
      <xdr:blipFill>
        <a:blip xmlns:r="http://schemas.openxmlformats.org/officeDocument/2006/relationships" r:embed="rId2" cstate="print"/>
        <a:stretch>
          <a:fillRect/>
        </a:stretch>
      </xdr:blipFill>
      <xdr:spPr>
        <a:xfrm>
          <a:off x="18935700" y="4143375"/>
          <a:ext cx="4200525" cy="2377863"/>
        </a:xfrm>
        <a:prstGeom prst="rect">
          <a:avLst/>
        </a:prstGeom>
      </xdr:spPr>
    </xdr:pic>
    <xdr:clientData/>
  </xdr:twoCellAnchor>
  <xdr:twoCellAnchor editAs="oneCell">
    <xdr:from>
      <xdr:col>20</xdr:col>
      <xdr:colOff>238125</xdr:colOff>
      <xdr:row>38</xdr:row>
      <xdr:rowOff>57150</xdr:rowOff>
    </xdr:from>
    <xdr:to>
      <xdr:col>25</xdr:col>
      <xdr:colOff>704850</xdr:colOff>
      <xdr:row>52</xdr:row>
      <xdr:rowOff>134701</xdr:rowOff>
    </xdr:to>
    <xdr:pic>
      <xdr:nvPicPr>
        <xdr:cNvPr id="4" name="Imagen 3">
          <a:extLst>
            <a:ext uri="{FF2B5EF4-FFF2-40B4-BE49-F238E27FC236}">
              <a16:creationId xmlns:a16="http://schemas.microsoft.com/office/drawing/2014/main" id="{8C248F56-7069-41FF-A805-1EFD1AA3908C}"/>
            </a:ext>
          </a:extLst>
        </xdr:cNvPr>
        <xdr:cNvPicPr>
          <a:picLocks noChangeAspect="1"/>
        </xdr:cNvPicPr>
      </xdr:nvPicPr>
      <xdr:blipFill>
        <a:blip xmlns:r="http://schemas.openxmlformats.org/officeDocument/2006/relationships" r:embed="rId3" cstate="print"/>
        <a:stretch>
          <a:fillRect/>
        </a:stretch>
      </xdr:blipFill>
      <xdr:spPr>
        <a:xfrm>
          <a:off x="18935700" y="6934200"/>
          <a:ext cx="4514850" cy="261120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561975</xdr:colOff>
      <xdr:row>32</xdr:row>
      <xdr:rowOff>19050</xdr:rowOff>
    </xdr:from>
    <xdr:to>
      <xdr:col>6</xdr:col>
      <xdr:colOff>475233</xdr:colOff>
      <xdr:row>60</xdr:row>
      <xdr:rowOff>47055</xdr:rowOff>
    </xdr:to>
    <xdr:pic>
      <xdr:nvPicPr>
        <xdr:cNvPr id="2" name="Picture 1">
          <a:extLst>
            <a:ext uri="{FF2B5EF4-FFF2-40B4-BE49-F238E27FC236}">
              <a16:creationId xmlns:a16="http://schemas.microsoft.com/office/drawing/2014/main" id="{5BEB9BA0-46C6-0F89-BE3B-BAE7C91CD957}"/>
            </a:ext>
          </a:extLst>
        </xdr:cNvPr>
        <xdr:cNvPicPr>
          <a:picLocks noChangeAspect="1"/>
        </xdr:cNvPicPr>
      </xdr:nvPicPr>
      <xdr:blipFill>
        <a:blip xmlns:r="http://schemas.openxmlformats.org/officeDocument/2006/relationships" r:embed="rId1"/>
        <a:stretch>
          <a:fillRect/>
        </a:stretch>
      </xdr:blipFill>
      <xdr:spPr>
        <a:xfrm>
          <a:off x="561975" y="5200650"/>
          <a:ext cx="8133333" cy="4561905"/>
        </a:xfrm>
        <a:prstGeom prst="rect">
          <a:avLst/>
        </a:prstGeom>
      </xdr:spPr>
    </xdr:pic>
    <xdr:clientData/>
  </xdr:twoCellAnchor>
  <xdr:twoCellAnchor editAs="oneCell">
    <xdr:from>
      <xdr:col>7</xdr:col>
      <xdr:colOff>438150</xdr:colOff>
      <xdr:row>26</xdr:row>
      <xdr:rowOff>38100</xdr:rowOff>
    </xdr:from>
    <xdr:to>
      <xdr:col>18</xdr:col>
      <xdr:colOff>8258</xdr:colOff>
      <xdr:row>42</xdr:row>
      <xdr:rowOff>26407</xdr:rowOff>
    </xdr:to>
    <xdr:pic>
      <xdr:nvPicPr>
        <xdr:cNvPr id="3" name="Picture 2">
          <a:extLst>
            <a:ext uri="{FF2B5EF4-FFF2-40B4-BE49-F238E27FC236}">
              <a16:creationId xmlns:a16="http://schemas.microsoft.com/office/drawing/2014/main" id="{A6E57DEB-0294-DA1E-04A7-64B748CA41D1}"/>
            </a:ext>
          </a:extLst>
        </xdr:cNvPr>
        <xdr:cNvPicPr>
          <a:picLocks noChangeAspect="1"/>
        </xdr:cNvPicPr>
      </xdr:nvPicPr>
      <xdr:blipFill>
        <a:blip xmlns:r="http://schemas.openxmlformats.org/officeDocument/2006/relationships" r:embed="rId2"/>
        <a:stretch>
          <a:fillRect/>
        </a:stretch>
      </xdr:blipFill>
      <xdr:spPr>
        <a:xfrm>
          <a:off x="9267825" y="4248150"/>
          <a:ext cx="6742433" cy="2579107"/>
        </a:xfrm>
        <a:prstGeom prst="rect">
          <a:avLst/>
        </a:prstGeom>
      </xdr:spPr>
    </xdr:pic>
    <xdr:clientData/>
  </xdr:twoCellAnchor>
  <xdr:twoCellAnchor editAs="oneCell">
    <xdr:from>
      <xdr:col>6</xdr:col>
      <xdr:colOff>38100</xdr:colOff>
      <xdr:row>4</xdr:row>
      <xdr:rowOff>85725</xdr:rowOff>
    </xdr:from>
    <xdr:to>
      <xdr:col>18</xdr:col>
      <xdr:colOff>484545</xdr:colOff>
      <xdr:row>30</xdr:row>
      <xdr:rowOff>121291</xdr:rowOff>
    </xdr:to>
    <xdr:pic>
      <xdr:nvPicPr>
        <xdr:cNvPr id="4" name="Picture 3">
          <a:extLst>
            <a:ext uri="{FF2B5EF4-FFF2-40B4-BE49-F238E27FC236}">
              <a16:creationId xmlns:a16="http://schemas.microsoft.com/office/drawing/2014/main" id="{BC3ED40B-A21F-C2A2-3000-4EF055DF54A0}"/>
            </a:ext>
          </a:extLst>
        </xdr:cNvPr>
        <xdr:cNvPicPr>
          <a:picLocks noChangeAspect="1"/>
        </xdr:cNvPicPr>
      </xdr:nvPicPr>
      <xdr:blipFill>
        <a:blip xmlns:r="http://schemas.openxmlformats.org/officeDocument/2006/relationships" r:embed="rId3"/>
        <a:stretch>
          <a:fillRect/>
        </a:stretch>
      </xdr:blipFill>
      <xdr:spPr>
        <a:xfrm>
          <a:off x="8258175" y="733425"/>
          <a:ext cx="8228370" cy="4245616"/>
        </a:xfrm>
        <a:prstGeom prst="rect">
          <a:avLst/>
        </a:prstGeom>
      </xdr:spPr>
    </xdr:pic>
    <xdr:clientData/>
  </xdr:twoCellAnchor>
  <xdr:twoCellAnchor editAs="oneCell">
    <xdr:from>
      <xdr:col>8</xdr:col>
      <xdr:colOff>0</xdr:colOff>
      <xdr:row>60</xdr:row>
      <xdr:rowOff>0</xdr:rowOff>
    </xdr:from>
    <xdr:to>
      <xdr:col>21</xdr:col>
      <xdr:colOff>170380</xdr:colOff>
      <xdr:row>68</xdr:row>
      <xdr:rowOff>133171</xdr:rowOff>
    </xdr:to>
    <xdr:pic>
      <xdr:nvPicPr>
        <xdr:cNvPr id="5" name="Picture 4">
          <a:extLst>
            <a:ext uri="{FF2B5EF4-FFF2-40B4-BE49-F238E27FC236}">
              <a16:creationId xmlns:a16="http://schemas.microsoft.com/office/drawing/2014/main" id="{14E25E99-DDA7-941B-70AC-D2B1EDCA8F7F}"/>
            </a:ext>
          </a:extLst>
        </xdr:cNvPr>
        <xdr:cNvPicPr>
          <a:picLocks noChangeAspect="1"/>
        </xdr:cNvPicPr>
      </xdr:nvPicPr>
      <xdr:blipFill>
        <a:blip xmlns:r="http://schemas.openxmlformats.org/officeDocument/2006/relationships" r:embed="rId4"/>
        <a:stretch>
          <a:fillRect/>
        </a:stretch>
      </xdr:blipFill>
      <xdr:spPr>
        <a:xfrm>
          <a:off x="9439275" y="9715500"/>
          <a:ext cx="8561905" cy="142857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24</xdr:col>
      <xdr:colOff>659146</xdr:colOff>
      <xdr:row>57</xdr:row>
      <xdr:rowOff>145035</xdr:rowOff>
    </xdr:from>
    <xdr:ext cx="6257925" cy="4105275"/>
    <xdr:pic>
      <xdr:nvPicPr>
        <xdr:cNvPr id="2" name="image2.png">
          <a:extLst>
            <a:ext uri="{FF2B5EF4-FFF2-40B4-BE49-F238E27FC236}">
              <a16:creationId xmlns:a16="http://schemas.microsoft.com/office/drawing/2014/main" id="{4AD7E531-99FA-4E81-BE2E-0243AC6DDBB0}"/>
            </a:ext>
          </a:extLst>
        </xdr:cNvPr>
        <xdr:cNvPicPr preferRelativeResize="0"/>
      </xdr:nvPicPr>
      <xdr:blipFill>
        <a:blip xmlns:r="http://schemas.openxmlformats.org/officeDocument/2006/relationships" r:embed="rId1" cstate="print"/>
        <a:stretch>
          <a:fillRect/>
        </a:stretch>
      </xdr:blipFill>
      <xdr:spPr>
        <a:xfrm>
          <a:off x="34482421" y="11003535"/>
          <a:ext cx="6257925" cy="4105275"/>
        </a:xfrm>
        <a:prstGeom prst="rect">
          <a:avLst/>
        </a:prstGeom>
        <a:noFill/>
      </xdr:spPr>
    </xdr:pic>
    <xdr:clientData fLocksWithSheet="0"/>
  </xdr:oneCellAnchor>
</xdr:wsDr>
</file>

<file path=xl/drawings/drawing49.xml><?xml version="1.0" encoding="utf-8"?>
<xdr:wsDr xmlns:xdr="http://schemas.openxmlformats.org/drawingml/2006/spreadsheetDrawing" xmlns:a="http://schemas.openxmlformats.org/drawingml/2006/main">
  <xdr:twoCellAnchor editAs="oneCell">
    <xdr:from>
      <xdr:col>6</xdr:col>
      <xdr:colOff>0</xdr:colOff>
      <xdr:row>2</xdr:row>
      <xdr:rowOff>114301</xdr:rowOff>
    </xdr:from>
    <xdr:to>
      <xdr:col>9</xdr:col>
      <xdr:colOff>42333</xdr:colOff>
      <xdr:row>8</xdr:row>
      <xdr:rowOff>123369</xdr:rowOff>
    </xdr:to>
    <xdr:pic>
      <xdr:nvPicPr>
        <xdr:cNvPr id="2" name="Imagen 1">
          <a:extLst>
            <a:ext uri="{FF2B5EF4-FFF2-40B4-BE49-F238E27FC236}">
              <a16:creationId xmlns:a16="http://schemas.microsoft.com/office/drawing/2014/main" id="{2FECD481-A378-4E66-9E77-706596DD8746}"/>
            </a:ext>
          </a:extLst>
        </xdr:cNvPr>
        <xdr:cNvPicPr>
          <a:picLocks noChangeAspect="1"/>
        </xdr:cNvPicPr>
      </xdr:nvPicPr>
      <xdr:blipFill>
        <a:blip xmlns:r="http://schemas.openxmlformats.org/officeDocument/2006/relationships" r:embed="rId1" cstate="print"/>
        <a:stretch>
          <a:fillRect/>
        </a:stretch>
      </xdr:blipFill>
      <xdr:spPr>
        <a:xfrm>
          <a:off x="5381625" y="495301"/>
          <a:ext cx="1842558" cy="1179585"/>
        </a:xfrm>
        <a:prstGeom prst="rect">
          <a:avLst/>
        </a:prstGeom>
      </xdr:spPr>
    </xdr:pic>
    <xdr:clientData/>
  </xdr:twoCellAnchor>
  <xdr:twoCellAnchor editAs="oneCell">
    <xdr:from>
      <xdr:col>15</xdr:col>
      <xdr:colOff>180975</xdr:colOff>
      <xdr:row>4</xdr:row>
      <xdr:rowOff>175021</xdr:rowOff>
    </xdr:from>
    <xdr:to>
      <xdr:col>17</xdr:col>
      <xdr:colOff>952500</xdr:colOff>
      <xdr:row>11</xdr:row>
      <xdr:rowOff>2840</xdr:rowOff>
    </xdr:to>
    <xdr:pic>
      <xdr:nvPicPr>
        <xdr:cNvPr id="3" name="Imagen 2">
          <a:extLst>
            <a:ext uri="{FF2B5EF4-FFF2-40B4-BE49-F238E27FC236}">
              <a16:creationId xmlns:a16="http://schemas.microsoft.com/office/drawing/2014/main" id="{7F739D1F-F9FE-452C-9ACB-4A9D5ADCADFF}"/>
            </a:ext>
          </a:extLst>
        </xdr:cNvPr>
        <xdr:cNvPicPr>
          <a:picLocks noChangeAspect="1"/>
        </xdr:cNvPicPr>
      </xdr:nvPicPr>
      <xdr:blipFill>
        <a:blip xmlns:r="http://schemas.openxmlformats.org/officeDocument/2006/relationships" r:embed="rId2" cstate="print"/>
        <a:stretch>
          <a:fillRect/>
        </a:stretch>
      </xdr:blipFill>
      <xdr:spPr>
        <a:xfrm>
          <a:off x="14382750" y="946546"/>
          <a:ext cx="2695575" cy="1167668"/>
        </a:xfrm>
        <a:prstGeom prst="rect">
          <a:avLst/>
        </a:prstGeom>
      </xdr:spPr>
    </xdr:pic>
    <xdr:clientData/>
  </xdr:twoCellAnchor>
  <xdr:twoCellAnchor editAs="oneCell">
    <xdr:from>
      <xdr:col>12</xdr:col>
      <xdr:colOff>1924050</xdr:colOff>
      <xdr:row>13</xdr:row>
      <xdr:rowOff>102145</xdr:rowOff>
    </xdr:from>
    <xdr:to>
      <xdr:col>14</xdr:col>
      <xdr:colOff>276225</xdr:colOff>
      <xdr:row>20</xdr:row>
      <xdr:rowOff>126510</xdr:rowOff>
    </xdr:to>
    <xdr:pic>
      <xdr:nvPicPr>
        <xdr:cNvPr id="4" name="Imagen 3">
          <a:extLst>
            <a:ext uri="{FF2B5EF4-FFF2-40B4-BE49-F238E27FC236}">
              <a16:creationId xmlns:a16="http://schemas.microsoft.com/office/drawing/2014/main" id="{126D579F-7244-4288-8772-B8641997C643}"/>
            </a:ext>
          </a:extLst>
        </xdr:cNvPr>
        <xdr:cNvPicPr>
          <a:picLocks noChangeAspect="1"/>
        </xdr:cNvPicPr>
      </xdr:nvPicPr>
      <xdr:blipFill>
        <a:blip xmlns:r="http://schemas.openxmlformats.org/officeDocument/2006/relationships" r:embed="rId3" cstate="print"/>
        <a:stretch>
          <a:fillRect/>
        </a:stretch>
      </xdr:blipFill>
      <xdr:spPr>
        <a:xfrm>
          <a:off x="11287125" y="2635795"/>
          <a:ext cx="2228850" cy="1345165"/>
        </a:xfrm>
        <a:prstGeom prst="rect">
          <a:avLst/>
        </a:prstGeom>
      </xdr:spPr>
    </xdr:pic>
    <xdr:clientData/>
  </xdr:twoCellAnchor>
  <xdr:twoCellAnchor editAs="oneCell">
    <xdr:from>
      <xdr:col>3</xdr:col>
      <xdr:colOff>104775</xdr:colOff>
      <xdr:row>14</xdr:row>
      <xdr:rowOff>33171</xdr:rowOff>
    </xdr:from>
    <xdr:to>
      <xdr:col>6</xdr:col>
      <xdr:colOff>285750</xdr:colOff>
      <xdr:row>17</xdr:row>
      <xdr:rowOff>181802</xdr:rowOff>
    </xdr:to>
    <xdr:pic>
      <xdr:nvPicPr>
        <xdr:cNvPr id="5" name="Imagen 4">
          <a:extLst>
            <a:ext uri="{FF2B5EF4-FFF2-40B4-BE49-F238E27FC236}">
              <a16:creationId xmlns:a16="http://schemas.microsoft.com/office/drawing/2014/main" id="{3CC0AA26-77A3-4A5E-A87B-6182F07EDCDD}"/>
            </a:ext>
          </a:extLst>
        </xdr:cNvPr>
        <xdr:cNvPicPr>
          <a:picLocks noChangeAspect="1"/>
        </xdr:cNvPicPr>
      </xdr:nvPicPr>
      <xdr:blipFill>
        <a:blip xmlns:r="http://schemas.openxmlformats.org/officeDocument/2006/relationships" r:embed="rId4" cstate="print"/>
        <a:stretch>
          <a:fillRect/>
        </a:stretch>
      </xdr:blipFill>
      <xdr:spPr>
        <a:xfrm>
          <a:off x="3209925" y="2757321"/>
          <a:ext cx="2457450" cy="719073"/>
        </a:xfrm>
        <a:prstGeom prst="rect">
          <a:avLst/>
        </a:prstGeom>
      </xdr:spPr>
    </xdr:pic>
    <xdr:clientData/>
  </xdr:twoCellAnchor>
  <xdr:twoCellAnchor editAs="oneCell">
    <xdr:from>
      <xdr:col>1</xdr:col>
      <xdr:colOff>0</xdr:colOff>
      <xdr:row>39</xdr:row>
      <xdr:rowOff>0</xdr:rowOff>
    </xdr:from>
    <xdr:to>
      <xdr:col>6</xdr:col>
      <xdr:colOff>178543</xdr:colOff>
      <xdr:row>48</xdr:row>
      <xdr:rowOff>142524</xdr:rowOff>
    </xdr:to>
    <xdr:pic>
      <xdr:nvPicPr>
        <xdr:cNvPr id="6" name="Imagen 5">
          <a:extLst>
            <a:ext uri="{FF2B5EF4-FFF2-40B4-BE49-F238E27FC236}">
              <a16:creationId xmlns:a16="http://schemas.microsoft.com/office/drawing/2014/main" id="{0F70287C-4D2B-4FE7-8477-271BC0C6F67E}"/>
            </a:ext>
          </a:extLst>
        </xdr:cNvPr>
        <xdr:cNvPicPr>
          <a:picLocks noChangeAspect="1"/>
        </xdr:cNvPicPr>
      </xdr:nvPicPr>
      <xdr:blipFill>
        <a:blip xmlns:r="http://schemas.openxmlformats.org/officeDocument/2006/relationships" r:embed="rId5" cstate="print"/>
        <a:stretch>
          <a:fillRect/>
        </a:stretch>
      </xdr:blipFill>
      <xdr:spPr>
        <a:xfrm>
          <a:off x="1457325" y="7505700"/>
          <a:ext cx="4102843" cy="1761774"/>
        </a:xfrm>
        <a:prstGeom prst="rect">
          <a:avLst/>
        </a:prstGeom>
      </xdr:spPr>
    </xdr:pic>
    <xdr:clientData/>
  </xdr:twoCellAnchor>
  <xdr:oneCellAnchor>
    <xdr:from>
      <xdr:col>17</xdr:col>
      <xdr:colOff>781050</xdr:colOff>
      <xdr:row>32</xdr:row>
      <xdr:rowOff>57150</xdr:rowOff>
    </xdr:from>
    <xdr:ext cx="4629150" cy="3371850"/>
    <xdr:pic>
      <xdr:nvPicPr>
        <xdr:cNvPr id="7" name="image3.png">
          <a:extLst>
            <a:ext uri="{FF2B5EF4-FFF2-40B4-BE49-F238E27FC236}">
              <a16:creationId xmlns:a16="http://schemas.microsoft.com/office/drawing/2014/main" id="{2789CD3D-3DF0-4F7A-9978-4EA9A46B4131}"/>
            </a:ext>
          </a:extLst>
        </xdr:cNvPr>
        <xdr:cNvPicPr preferRelativeResize="0"/>
      </xdr:nvPicPr>
      <xdr:blipFill>
        <a:blip xmlns:r="http://schemas.openxmlformats.org/officeDocument/2006/relationships" r:embed="rId6" cstate="print"/>
        <a:stretch>
          <a:fillRect/>
        </a:stretch>
      </xdr:blipFill>
      <xdr:spPr>
        <a:xfrm>
          <a:off x="16906875" y="6229350"/>
          <a:ext cx="4629150" cy="3371850"/>
        </a:xfrm>
        <a:prstGeom prst="rect">
          <a:avLst/>
        </a:prstGeom>
        <a:noFill/>
      </xdr:spPr>
    </xdr:pic>
    <xdr:clientData fLocksWithSheet="0"/>
  </xdr:oneCellAnchor>
  <xdr:oneCellAnchor>
    <xdr:from>
      <xdr:col>12</xdr:col>
      <xdr:colOff>123825</xdr:colOff>
      <xdr:row>0</xdr:row>
      <xdr:rowOff>85725</xdr:rowOff>
    </xdr:from>
    <xdr:ext cx="2828925" cy="895350"/>
    <xdr:pic>
      <xdr:nvPicPr>
        <xdr:cNvPr id="8" name="image5.png">
          <a:extLst>
            <a:ext uri="{FF2B5EF4-FFF2-40B4-BE49-F238E27FC236}">
              <a16:creationId xmlns:a16="http://schemas.microsoft.com/office/drawing/2014/main" id="{864BF976-99F0-4501-AC83-F7E532854C63}"/>
            </a:ext>
          </a:extLst>
        </xdr:cNvPr>
        <xdr:cNvPicPr preferRelativeResize="0"/>
      </xdr:nvPicPr>
      <xdr:blipFill>
        <a:blip xmlns:r="http://schemas.openxmlformats.org/officeDocument/2006/relationships" r:embed="rId7" cstate="print"/>
        <a:stretch>
          <a:fillRect/>
        </a:stretch>
      </xdr:blipFill>
      <xdr:spPr>
        <a:xfrm>
          <a:off x="9486900" y="85725"/>
          <a:ext cx="2828925" cy="8953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66675</xdr:colOff>
      <xdr:row>0</xdr:row>
      <xdr:rowOff>0</xdr:rowOff>
    </xdr:from>
    <xdr:to>
      <xdr:col>17</xdr:col>
      <xdr:colOff>65770</xdr:colOff>
      <xdr:row>17</xdr:row>
      <xdr:rowOff>123438</xdr:rowOff>
    </xdr:to>
    <xdr:pic>
      <xdr:nvPicPr>
        <xdr:cNvPr id="3" name="Picture 2">
          <a:extLst>
            <a:ext uri="{FF2B5EF4-FFF2-40B4-BE49-F238E27FC236}">
              <a16:creationId xmlns:a16="http://schemas.microsoft.com/office/drawing/2014/main" id="{ADF7FF75-CAD5-45AB-8142-DC9C985ED0FA}"/>
            </a:ext>
          </a:extLst>
        </xdr:cNvPr>
        <xdr:cNvPicPr>
          <a:picLocks noChangeAspect="1"/>
        </xdr:cNvPicPr>
      </xdr:nvPicPr>
      <xdr:blipFill>
        <a:blip xmlns:r="http://schemas.openxmlformats.org/officeDocument/2006/relationships" r:embed="rId1"/>
        <a:stretch>
          <a:fillRect/>
        </a:stretch>
      </xdr:blipFill>
      <xdr:spPr>
        <a:xfrm>
          <a:off x="9229725" y="0"/>
          <a:ext cx="7238095" cy="309523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800100</xdr:colOff>
      <xdr:row>16</xdr:row>
      <xdr:rowOff>190500</xdr:rowOff>
    </xdr:from>
    <xdr:to>
      <xdr:col>5</xdr:col>
      <xdr:colOff>295275</xdr:colOff>
      <xdr:row>22</xdr:row>
      <xdr:rowOff>29549</xdr:rowOff>
    </xdr:to>
    <xdr:pic>
      <xdr:nvPicPr>
        <xdr:cNvPr id="2" name="Picture 1">
          <a:extLst>
            <a:ext uri="{FF2B5EF4-FFF2-40B4-BE49-F238E27FC236}">
              <a16:creationId xmlns:a16="http://schemas.microsoft.com/office/drawing/2014/main" id="{AEFE292F-0B94-4401-9138-989F0D19431C}"/>
            </a:ext>
          </a:extLst>
        </xdr:cNvPr>
        <xdr:cNvPicPr>
          <a:picLocks noChangeAspect="1"/>
        </xdr:cNvPicPr>
      </xdr:nvPicPr>
      <xdr:blipFill>
        <a:blip xmlns:r="http://schemas.openxmlformats.org/officeDocument/2006/relationships" r:embed="rId1" cstate="print"/>
        <a:stretch>
          <a:fillRect/>
        </a:stretch>
      </xdr:blipFill>
      <xdr:spPr>
        <a:xfrm>
          <a:off x="2990850" y="3162300"/>
          <a:ext cx="2381250" cy="1039199"/>
        </a:xfrm>
        <a:prstGeom prst="rect">
          <a:avLst/>
        </a:prstGeom>
      </xdr:spPr>
    </xdr:pic>
    <xdr:clientData/>
  </xdr:twoCellAnchor>
  <xdr:twoCellAnchor editAs="oneCell">
    <xdr:from>
      <xdr:col>2</xdr:col>
      <xdr:colOff>590551</xdr:colOff>
      <xdr:row>27</xdr:row>
      <xdr:rowOff>28575</xdr:rowOff>
    </xdr:from>
    <xdr:to>
      <xdr:col>5</xdr:col>
      <xdr:colOff>352426</xdr:colOff>
      <xdr:row>34</xdr:row>
      <xdr:rowOff>101224</xdr:rowOff>
    </xdr:to>
    <xdr:pic>
      <xdr:nvPicPr>
        <xdr:cNvPr id="3" name="Imagen 2">
          <a:extLst>
            <a:ext uri="{FF2B5EF4-FFF2-40B4-BE49-F238E27FC236}">
              <a16:creationId xmlns:a16="http://schemas.microsoft.com/office/drawing/2014/main" id="{761D0C3C-8B2F-496C-9BC2-CA37B5E98747}"/>
            </a:ext>
          </a:extLst>
        </xdr:cNvPr>
        <xdr:cNvPicPr>
          <a:picLocks noChangeAspect="1"/>
        </xdr:cNvPicPr>
      </xdr:nvPicPr>
      <xdr:blipFill>
        <a:blip xmlns:r="http://schemas.openxmlformats.org/officeDocument/2006/relationships" r:embed="rId2" cstate="print"/>
        <a:stretch>
          <a:fillRect/>
        </a:stretch>
      </xdr:blipFill>
      <xdr:spPr>
        <a:xfrm>
          <a:off x="2781301" y="5200650"/>
          <a:ext cx="2647950" cy="14728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361950</xdr:colOff>
      <xdr:row>3</xdr:row>
      <xdr:rowOff>19050</xdr:rowOff>
    </xdr:from>
    <xdr:to>
      <xdr:col>16</xdr:col>
      <xdr:colOff>225551</xdr:colOff>
      <xdr:row>27</xdr:row>
      <xdr:rowOff>65967</xdr:rowOff>
    </xdr:to>
    <xdr:pic>
      <xdr:nvPicPr>
        <xdr:cNvPr id="3" name="Picture 2">
          <a:extLst>
            <a:ext uri="{FF2B5EF4-FFF2-40B4-BE49-F238E27FC236}">
              <a16:creationId xmlns:a16="http://schemas.microsoft.com/office/drawing/2014/main" id="{217F63B4-18E6-16F2-D0CC-4B481D5E6562}"/>
            </a:ext>
          </a:extLst>
        </xdr:cNvPr>
        <xdr:cNvPicPr>
          <a:picLocks noChangeAspect="1"/>
        </xdr:cNvPicPr>
      </xdr:nvPicPr>
      <xdr:blipFill>
        <a:blip xmlns:r="http://schemas.openxmlformats.org/officeDocument/2006/relationships" r:embed="rId1"/>
        <a:stretch>
          <a:fillRect/>
        </a:stretch>
      </xdr:blipFill>
      <xdr:spPr>
        <a:xfrm>
          <a:off x="12411075" y="342900"/>
          <a:ext cx="5178551" cy="42093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389731</xdr:colOff>
      <xdr:row>27</xdr:row>
      <xdr:rowOff>37549</xdr:rowOff>
    </xdr:to>
    <xdr:pic>
      <xdr:nvPicPr>
        <xdr:cNvPr id="2" name="Picture 1">
          <a:extLst>
            <a:ext uri="{FF2B5EF4-FFF2-40B4-BE49-F238E27FC236}">
              <a16:creationId xmlns:a16="http://schemas.microsoft.com/office/drawing/2014/main" id="{1D5939A6-FF98-A210-D528-0878AC9E774A}"/>
            </a:ext>
          </a:extLst>
        </xdr:cNvPr>
        <xdr:cNvPicPr>
          <a:picLocks noChangeAspect="1"/>
        </xdr:cNvPicPr>
      </xdr:nvPicPr>
      <xdr:blipFill>
        <a:blip xmlns:r="http://schemas.openxmlformats.org/officeDocument/2006/relationships" r:embed="rId1"/>
        <a:stretch>
          <a:fillRect/>
        </a:stretch>
      </xdr:blipFill>
      <xdr:spPr>
        <a:xfrm>
          <a:off x="0" y="0"/>
          <a:ext cx="6352381" cy="44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465908</xdr:colOff>
      <xdr:row>25</xdr:row>
      <xdr:rowOff>104256</xdr:rowOff>
    </xdr:to>
    <xdr:pic>
      <xdr:nvPicPr>
        <xdr:cNvPr id="3" name="Picture 2">
          <a:extLst>
            <a:ext uri="{FF2B5EF4-FFF2-40B4-BE49-F238E27FC236}">
              <a16:creationId xmlns:a16="http://schemas.microsoft.com/office/drawing/2014/main" id="{A9518EC3-1098-F1A2-616F-493170A2E706}"/>
            </a:ext>
          </a:extLst>
        </xdr:cNvPr>
        <xdr:cNvPicPr>
          <a:picLocks noChangeAspect="1"/>
        </xdr:cNvPicPr>
      </xdr:nvPicPr>
      <xdr:blipFill>
        <a:blip xmlns:r="http://schemas.openxmlformats.org/officeDocument/2006/relationships" r:embed="rId1"/>
        <a:stretch>
          <a:fillRect/>
        </a:stretch>
      </xdr:blipFill>
      <xdr:spPr>
        <a:xfrm>
          <a:off x="0" y="0"/>
          <a:ext cx="6533333" cy="4152381"/>
        </a:xfrm>
        <a:prstGeom prst="rect">
          <a:avLst/>
        </a:prstGeom>
      </xdr:spPr>
    </xdr:pic>
    <xdr:clientData/>
  </xdr:twoCellAnchor>
  <xdr:twoCellAnchor editAs="oneCell">
    <xdr:from>
      <xdr:col>7</xdr:col>
      <xdr:colOff>0</xdr:colOff>
      <xdr:row>1</xdr:row>
      <xdr:rowOff>0</xdr:rowOff>
    </xdr:from>
    <xdr:to>
      <xdr:col>14</xdr:col>
      <xdr:colOff>1142199</xdr:colOff>
      <xdr:row>23</xdr:row>
      <xdr:rowOff>132888</xdr:rowOff>
    </xdr:to>
    <xdr:pic>
      <xdr:nvPicPr>
        <xdr:cNvPr id="4" name="Picture 3">
          <a:extLst>
            <a:ext uri="{FF2B5EF4-FFF2-40B4-BE49-F238E27FC236}">
              <a16:creationId xmlns:a16="http://schemas.microsoft.com/office/drawing/2014/main" id="{C7338C8B-37BD-1EEE-12A1-C58784C4F40F}"/>
            </a:ext>
          </a:extLst>
        </xdr:cNvPr>
        <xdr:cNvPicPr>
          <a:picLocks noChangeAspect="1"/>
        </xdr:cNvPicPr>
      </xdr:nvPicPr>
      <xdr:blipFill>
        <a:blip xmlns:r="http://schemas.openxmlformats.org/officeDocument/2006/relationships" r:embed="rId2"/>
        <a:stretch>
          <a:fillRect/>
        </a:stretch>
      </xdr:blipFill>
      <xdr:spPr>
        <a:xfrm>
          <a:off x="6677025" y="161925"/>
          <a:ext cx="6409524" cy="36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418330</xdr:colOff>
      <xdr:row>27</xdr:row>
      <xdr:rowOff>37568</xdr:rowOff>
    </xdr:to>
    <xdr:pic>
      <xdr:nvPicPr>
        <xdr:cNvPr id="4" name="Picture 3">
          <a:extLst>
            <a:ext uri="{FF2B5EF4-FFF2-40B4-BE49-F238E27FC236}">
              <a16:creationId xmlns:a16="http://schemas.microsoft.com/office/drawing/2014/main" id="{E1AEA610-9C4C-0E8D-F67A-FD70CF4651F1}"/>
            </a:ext>
          </a:extLst>
        </xdr:cNvPr>
        <xdr:cNvPicPr>
          <a:picLocks noChangeAspect="1"/>
        </xdr:cNvPicPr>
      </xdr:nvPicPr>
      <xdr:blipFill>
        <a:blip xmlns:r="http://schemas.openxmlformats.org/officeDocument/2006/relationships" r:embed="rId1"/>
        <a:stretch>
          <a:fillRect/>
        </a:stretch>
      </xdr:blipFill>
      <xdr:spPr>
        <a:xfrm>
          <a:off x="1219200" y="161925"/>
          <a:ext cx="6161905" cy="4257143"/>
        </a:xfrm>
        <a:prstGeom prst="rect">
          <a:avLst/>
        </a:prstGeom>
      </xdr:spPr>
    </xdr:pic>
    <xdr:clientData/>
  </xdr:twoCellAnchor>
  <xdr:twoCellAnchor editAs="oneCell">
    <xdr:from>
      <xdr:col>5</xdr:col>
      <xdr:colOff>676275</xdr:colOff>
      <xdr:row>1</xdr:row>
      <xdr:rowOff>28575</xdr:rowOff>
    </xdr:from>
    <xdr:to>
      <xdr:col>14</xdr:col>
      <xdr:colOff>8725</xdr:colOff>
      <xdr:row>24</xdr:row>
      <xdr:rowOff>18586</xdr:rowOff>
    </xdr:to>
    <xdr:pic>
      <xdr:nvPicPr>
        <xdr:cNvPr id="5" name="Picture 4">
          <a:extLst>
            <a:ext uri="{FF2B5EF4-FFF2-40B4-BE49-F238E27FC236}">
              <a16:creationId xmlns:a16="http://schemas.microsoft.com/office/drawing/2014/main" id="{88001C89-3E72-216A-287F-7DD9B157C239}"/>
            </a:ext>
          </a:extLst>
        </xdr:cNvPr>
        <xdr:cNvPicPr>
          <a:picLocks noChangeAspect="1"/>
        </xdr:cNvPicPr>
      </xdr:nvPicPr>
      <xdr:blipFill>
        <a:blip xmlns:r="http://schemas.openxmlformats.org/officeDocument/2006/relationships" r:embed="rId2"/>
        <a:stretch>
          <a:fillRect/>
        </a:stretch>
      </xdr:blipFill>
      <xdr:spPr>
        <a:xfrm>
          <a:off x="7639050" y="190500"/>
          <a:ext cx="6400000"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hristian\Downloads\Resolucion%201er%20parcial%20-%201C%202023%20-%20Pisos%20deck%20(resoluci&#243;n%20grandoso)%20ORIGINAL.xlsx" TargetMode="External"/><Relationship Id="rId1" Type="http://schemas.openxmlformats.org/officeDocument/2006/relationships/externalLinkPath" Target="Resolucion%201er%20parcial%20-%201C%202023%20-%20Pisos%20deck%20(resoluci&#243;n%20grandoso)%20ORIGIN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hristian\Desktop\sistemas%20de%20gestion\NICOAM%202%20parciales%20mas\Recuperatorio%20Lautaro%20Olivera%20-%20ChancaLight.xlsx" TargetMode="External"/><Relationship Id="rId1" Type="http://schemas.openxmlformats.org/officeDocument/2006/relationships/externalLinkPath" Target="/Users/Christian/Desktop/sistemas%20de%20gestion/NICOAM%202%20parciales%20mas/Recuperatorio%20Lautaro%20Olivera%20-%20ChancaLigh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ujo Fondo"/>
      <sheetName val="Flujo Fondo punto 2"/>
      <sheetName val="WC - LISTO"/>
      <sheetName val="WC - 60"/>
      <sheetName val="Préstamo - LISTO"/>
      <sheetName val="WACC - LISTO"/>
      <sheetName val="Inversion y depreciacion"/>
      <sheetName val="Costos"/>
      <sheetName val="Hoja1"/>
    </sheetNames>
    <sheetDataSet>
      <sheetData sheetId="0">
        <row r="12">
          <cell r="E12">
            <v>60000</v>
          </cell>
          <cell r="F12">
            <v>95000</v>
          </cell>
          <cell r="G12">
            <v>150000</v>
          </cell>
          <cell r="H12">
            <v>190000</v>
          </cell>
          <cell r="I12">
            <v>190000</v>
          </cell>
        </row>
        <row r="22">
          <cell r="E22">
            <v>755749987.19999993</v>
          </cell>
        </row>
        <row r="28">
          <cell r="E28">
            <v>-367082100</v>
          </cell>
        </row>
        <row r="29">
          <cell r="E29"/>
        </row>
        <row r="30">
          <cell r="E30"/>
        </row>
        <row r="31">
          <cell r="E31">
            <v>-96000000</v>
          </cell>
        </row>
        <row r="32">
          <cell r="E32">
            <v>0</v>
          </cell>
        </row>
        <row r="33">
          <cell r="E33">
            <v>-19500000</v>
          </cell>
        </row>
        <row r="34">
          <cell r="E34">
            <v>-10400000</v>
          </cell>
        </row>
        <row r="35">
          <cell r="E35">
            <v>-39000000</v>
          </cell>
        </row>
        <row r="36">
          <cell r="E36">
            <v>-31005000</v>
          </cell>
        </row>
        <row r="40">
          <cell r="E40">
            <v>-7557499.8719999995</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F - Esc 1"/>
      <sheetName val="Prestamo - Esc 1"/>
      <sheetName val="FF MAQUINA - Esc 2"/>
      <sheetName val="PRESTAMO MAQUINA - Esc 2"/>
      <sheetName val="Tasa"/>
      <sheetName val="Capital De Trabajo"/>
      <sheetName val="Supuestos y rtas"/>
      <sheetName val="Demanda"/>
      <sheetName val="Valor Presente"/>
      <sheetName val="Amortizaciones"/>
    </sheetNames>
    <sheetDataSet>
      <sheetData sheetId="0">
        <row r="49">
          <cell r="B49">
            <v>6500000</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9.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4.xml"/><Relationship Id="rId1" Type="http://schemas.openxmlformats.org/officeDocument/2006/relationships/printerSettings" Target="../printerSettings/printerSettings8.bin"/><Relationship Id="rId4"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ikiwi.net.ar/calculadoras/tna-a-tea/"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6.xml"/><Relationship Id="rId1" Type="http://schemas.openxmlformats.org/officeDocument/2006/relationships/printerSettings" Target="../printerSettings/printerSettings11.bin"/><Relationship Id="rId4" Type="http://schemas.openxmlformats.org/officeDocument/2006/relationships/comments" Target="../comments2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7.xml"/><Relationship Id="rId1" Type="http://schemas.openxmlformats.org/officeDocument/2006/relationships/printerSettings" Target="../printerSettings/printerSettings12.bin"/><Relationship Id="rId4" Type="http://schemas.openxmlformats.org/officeDocument/2006/relationships/comments" Target="../comments2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8.xml"/><Relationship Id="rId1" Type="http://schemas.openxmlformats.org/officeDocument/2006/relationships/printerSettings" Target="../printerSettings/printerSettings13.bin"/><Relationship Id="rId4" Type="http://schemas.openxmlformats.org/officeDocument/2006/relationships/comments" Target="../comments2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9.xml"/><Relationship Id="rId1" Type="http://schemas.openxmlformats.org/officeDocument/2006/relationships/printerSettings" Target="../printerSettings/printerSettings14.bin"/><Relationship Id="rId4"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0.xml"/><Relationship Id="rId1" Type="http://schemas.openxmlformats.org/officeDocument/2006/relationships/printerSettings" Target="../printerSettings/printerSettings15.bin"/><Relationship Id="rId4"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17.bin"/><Relationship Id="rId4" Type="http://schemas.openxmlformats.org/officeDocument/2006/relationships/comments" Target="../comments29.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19.bin"/><Relationship Id="rId4" Type="http://schemas.openxmlformats.org/officeDocument/2006/relationships/comments" Target="../comments30.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21.bin"/><Relationship Id="rId4" Type="http://schemas.openxmlformats.org/officeDocument/2006/relationships/comments" Target="../comments31.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8.xml"/><Relationship Id="rId1" Type="http://schemas.openxmlformats.org/officeDocument/2006/relationships/printerSettings" Target="../printerSettings/printerSettings23.bin"/><Relationship Id="rId4" Type="http://schemas.openxmlformats.org/officeDocument/2006/relationships/comments" Target="../comments3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9.xml"/><Relationship Id="rId1" Type="http://schemas.openxmlformats.org/officeDocument/2006/relationships/printerSettings" Target="../printerSettings/printerSettings24.bin"/><Relationship Id="rId4" Type="http://schemas.openxmlformats.org/officeDocument/2006/relationships/comments" Target="../comments3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ikiwi.net.ar/calculadoras/tna-a-tea/"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ikiwi.net.ar/calculadoras/tna-a-tea/" TargetMode="Externa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29.bin"/><Relationship Id="rId4" Type="http://schemas.openxmlformats.org/officeDocument/2006/relationships/comments" Target="../comments3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0.bin"/><Relationship Id="rId4" Type="http://schemas.openxmlformats.org/officeDocument/2006/relationships/comments" Target="../comments35.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1.bin"/><Relationship Id="rId1" Type="http://schemas.openxmlformats.org/officeDocument/2006/relationships/hyperlink" Target="https://ikiwi.net.ar/calculadoras/tna-a-tea/" TargetMode="Externa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34.bin"/><Relationship Id="rId4" Type="http://schemas.openxmlformats.org/officeDocument/2006/relationships/comments" Target="../comments36.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35.bin"/><Relationship Id="rId4" Type="http://schemas.openxmlformats.org/officeDocument/2006/relationships/comments" Target="../comments37.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36.bin"/><Relationship Id="rId4" Type="http://schemas.openxmlformats.org/officeDocument/2006/relationships/comments" Target="../comments38.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8.bin"/><Relationship Id="rId1" Type="http://schemas.openxmlformats.org/officeDocument/2006/relationships/hyperlink" Target="https://ikiwi.net.ar/calculadoras/tna-a-tea/"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39.bin"/><Relationship Id="rId1" Type="http://schemas.openxmlformats.org/officeDocument/2006/relationships/hyperlink" Target="https://ikiwi.net.ar/calculadoras/tna-a-tea/" TargetMode="Externa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2.bin"/><Relationship Id="rId1" Type="http://schemas.openxmlformats.org/officeDocument/2006/relationships/hyperlink" Target="https://ikiwi.net.ar/calculadoras/tna-a-tea/" TargetMode="Externa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9.xml"/><Relationship Id="rId1" Type="http://schemas.openxmlformats.org/officeDocument/2006/relationships/printerSettings" Target="../printerSettings/printerSettings44.bin"/><Relationship Id="rId4" Type="http://schemas.openxmlformats.org/officeDocument/2006/relationships/comments" Target="../comments40.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2"/>
  <sheetViews>
    <sheetView topLeftCell="A22" workbookViewId="0">
      <selection activeCell="F2" sqref="F2"/>
    </sheetView>
  </sheetViews>
  <sheetFormatPr defaultColWidth="14.42578125" defaultRowHeight="15.75" customHeight="1"/>
  <cols>
    <col min="2" max="2" width="34.42578125" customWidth="1"/>
    <col min="3" max="3" width="21.28515625" customWidth="1"/>
  </cols>
  <sheetData>
    <row r="1" spans="1:26">
      <c r="A1" s="1" t="s">
        <v>0</v>
      </c>
      <c r="B1" s="2" t="s">
        <v>1</v>
      </c>
      <c r="C1" s="2" t="s">
        <v>2</v>
      </c>
      <c r="D1" s="1" t="s">
        <v>3</v>
      </c>
      <c r="E1" s="2" t="s">
        <v>4</v>
      </c>
      <c r="F1" s="2" t="s">
        <v>5</v>
      </c>
      <c r="G1" s="2"/>
      <c r="H1" s="2"/>
      <c r="I1" s="2"/>
      <c r="J1" s="2"/>
      <c r="K1" s="2"/>
      <c r="L1" s="2"/>
      <c r="M1" s="2"/>
      <c r="N1" s="2"/>
      <c r="O1" s="2"/>
      <c r="P1" s="2"/>
      <c r="Q1" s="2"/>
      <c r="R1" s="2"/>
      <c r="S1" s="2"/>
      <c r="T1" s="2"/>
      <c r="U1" s="2"/>
      <c r="V1" s="2"/>
      <c r="W1" s="2"/>
      <c r="X1" s="2"/>
      <c r="Y1" s="2"/>
      <c r="Z1" s="2"/>
    </row>
    <row r="2" spans="1:26">
      <c r="A2" s="3">
        <v>0.25</v>
      </c>
      <c r="B2" s="4">
        <v>12</v>
      </c>
      <c r="C2" s="4">
        <v>12</v>
      </c>
      <c r="D2" s="3">
        <v>0.02</v>
      </c>
      <c r="E2" s="4">
        <v>10000</v>
      </c>
      <c r="F2" s="4">
        <f>E2*(D2+1)</f>
        <v>10200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H4"/>
  <sheetViews>
    <sheetView workbookViewId="0"/>
  </sheetViews>
  <sheetFormatPr defaultColWidth="14.42578125" defaultRowHeight="15.75" customHeight="1"/>
  <sheetData>
    <row r="1" spans="1:8">
      <c r="A1" s="4" t="s">
        <v>0</v>
      </c>
      <c r="B1" s="4">
        <v>0</v>
      </c>
      <c r="C1" s="4">
        <v>1</v>
      </c>
      <c r="D1" s="4">
        <v>2</v>
      </c>
      <c r="E1" s="4">
        <v>3</v>
      </c>
      <c r="F1" s="4">
        <v>4</v>
      </c>
      <c r="G1" s="4">
        <v>5</v>
      </c>
      <c r="H1" s="4" t="s">
        <v>26</v>
      </c>
    </row>
    <row r="2" spans="1:8">
      <c r="A2" s="3">
        <v>0.05</v>
      </c>
      <c r="B2" s="4">
        <v>-20000</v>
      </c>
      <c r="C2" s="7">
        <f>((-$B$2))*$A$2</f>
        <v>1000</v>
      </c>
      <c r="D2" s="7">
        <f>((-$B$2)+SUM($C$2:C2))*$A$2</f>
        <v>1050</v>
      </c>
      <c r="E2" s="7">
        <f>((-$B$2)+SUM($C$2:D2))*$A$2</f>
        <v>1102.5</v>
      </c>
      <c r="F2" s="7">
        <f>((-$B$2)+SUM($C$2:E2))*$A$2</f>
        <v>1157.625</v>
      </c>
      <c r="G2" s="7">
        <f>((-$B$2)+SUM($C$2:F2))*(1+$A$2)</f>
        <v>25525.631250000002</v>
      </c>
      <c r="H2" s="3">
        <f>IRR(B2:G2)</f>
        <v>9.074659532238738E-2</v>
      </c>
    </row>
    <row r="3" spans="1:8">
      <c r="A3" s="4" t="s">
        <v>6</v>
      </c>
      <c r="B3" s="4">
        <v>-20000</v>
      </c>
      <c r="C3" s="4">
        <v>5000</v>
      </c>
      <c r="D3" s="4">
        <v>4000</v>
      </c>
      <c r="E3" s="4">
        <v>4000</v>
      </c>
      <c r="F3" s="4">
        <v>4000</v>
      </c>
      <c r="G3" s="4">
        <v>4000</v>
      </c>
      <c r="H3" s="1">
        <f>IRR(B3:G3)</f>
        <v>1.7042694767353428E-2</v>
      </c>
    </row>
    <row r="4" spans="1:8">
      <c r="A4" s="4" t="s">
        <v>7</v>
      </c>
      <c r="B4" s="4">
        <v>-20000</v>
      </c>
      <c r="C4" s="4">
        <v>2500</v>
      </c>
      <c r="D4" s="4">
        <v>4000</v>
      </c>
      <c r="E4" s="4">
        <v>5000</v>
      </c>
      <c r="F4" s="4">
        <v>6000</v>
      </c>
      <c r="G4" s="4">
        <v>5500</v>
      </c>
      <c r="H4" s="1">
        <f>IRR(B4:G4)</f>
        <v>4.3106323385253553E-2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9"/>
  <sheetViews>
    <sheetView workbookViewId="0"/>
  </sheetViews>
  <sheetFormatPr defaultColWidth="14.42578125" defaultRowHeight="15.75" customHeight="1"/>
  <sheetData>
    <row r="1" spans="1:6">
      <c r="A1" s="4" t="s">
        <v>27</v>
      </c>
      <c r="B1" s="4">
        <v>0</v>
      </c>
      <c r="C1" s="4">
        <v>1</v>
      </c>
      <c r="D1" s="9">
        <v>2</v>
      </c>
      <c r="E1" s="4">
        <v>3</v>
      </c>
    </row>
    <row r="2" spans="1:6">
      <c r="A2" s="4" t="s">
        <v>6</v>
      </c>
      <c r="B2" s="4">
        <v>-10000</v>
      </c>
      <c r="C2" s="4">
        <v>5000</v>
      </c>
      <c r="D2" s="10">
        <v>5000</v>
      </c>
      <c r="E2" s="4">
        <v>1000</v>
      </c>
      <c r="F2" s="5">
        <f t="array" ref="F2">+NPV(0.1,B2:E2)</f>
        <v>-519.09022607745521</v>
      </c>
    </row>
    <row r="3" spans="1:6">
      <c r="C3" s="4">
        <v>5000</v>
      </c>
      <c r="D3" s="10">
        <f>C3+D2</f>
        <v>10000</v>
      </c>
      <c r="E3" s="4">
        <f>D3+E2</f>
        <v>11000</v>
      </c>
    </row>
    <row r="5" spans="1:6">
      <c r="A5" s="4" t="s">
        <v>0</v>
      </c>
      <c r="B5" s="4">
        <v>0</v>
      </c>
      <c r="C5" s="4">
        <v>1</v>
      </c>
      <c r="D5" s="4">
        <v>2</v>
      </c>
      <c r="E5" s="4">
        <v>3</v>
      </c>
    </row>
    <row r="6" spans="1:6">
      <c r="A6" s="3">
        <v>0.1</v>
      </c>
      <c r="B6" s="4">
        <v>-10000</v>
      </c>
      <c r="C6" s="4">
        <f>-B6*A6</f>
        <v>1000</v>
      </c>
      <c r="D6" s="4">
        <f>(-B6+C6)*A6</f>
        <v>1100</v>
      </c>
      <c r="E6" s="4">
        <f>(D6+C6+(-B6))*A6</f>
        <v>1210</v>
      </c>
      <c r="F6" s="5">
        <f t="array" ref="F6">B6+ NPV(A6,C6:E6)</f>
        <v>-7272.727272727273</v>
      </c>
    </row>
    <row r="7" spans="1:6">
      <c r="B7" s="4">
        <f>B6*((1+$A$6)^(-B$1))</f>
        <v>-10000</v>
      </c>
      <c r="C7" s="4">
        <f>C6*((1+$A$6)^(-C1))</f>
        <v>909.09090909090901</v>
      </c>
      <c r="D7" s="4">
        <f>D6*((1+$A$6)^(-D1))</f>
        <v>909.09090909090901</v>
      </c>
      <c r="E7" s="4">
        <f>E6*((1+$A$6)^(-E1))</f>
        <v>909.09090909090878</v>
      </c>
      <c r="F7" s="11">
        <f>SUM(B7:E7)</f>
        <v>-7272.7272727272739</v>
      </c>
    </row>
    <row r="8" spans="1:6">
      <c r="B8" s="4">
        <f>B7*((1+$A$6)^(-B$1))</f>
        <v>-10000</v>
      </c>
      <c r="C8" s="4">
        <v>5000</v>
      </c>
      <c r="D8" s="4">
        <v>5000</v>
      </c>
      <c r="E8" s="4">
        <v>1000</v>
      </c>
      <c r="F8" s="5">
        <f t="array" ref="F8">B7+ NPV(A6,C8:E8)</f>
        <v>-570.99924868520247</v>
      </c>
    </row>
    <row r="9" spans="1:6">
      <c r="B9" s="4">
        <f>B8*((1+$A$6)^(-B$1))</f>
        <v>-10000</v>
      </c>
      <c r="C9" s="4">
        <f>C8*((1+$A$6)^(-C$1))</f>
        <v>4545.454545454545</v>
      </c>
      <c r="D9" s="4">
        <f>D8*((1+$A$6)^(-D$1))</f>
        <v>4132.2314049586776</v>
      </c>
      <c r="E9" s="4">
        <f>E8*((1+$A$6)^(-E$1))</f>
        <v>751.31480090157754</v>
      </c>
      <c r="F9" s="7">
        <f>SUM(A9:E9)</f>
        <v>-570.99924868519986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H6"/>
  <sheetViews>
    <sheetView workbookViewId="0"/>
  </sheetViews>
  <sheetFormatPr defaultColWidth="14.42578125" defaultRowHeight="15.75" customHeight="1"/>
  <cols>
    <col min="1" max="1" width="19.42578125" customWidth="1"/>
  </cols>
  <sheetData>
    <row r="1" spans="1:8">
      <c r="A1" s="4" t="s">
        <v>28</v>
      </c>
      <c r="B1" s="4">
        <v>0</v>
      </c>
      <c r="C1" s="4">
        <v>1</v>
      </c>
      <c r="D1" s="4">
        <v>2</v>
      </c>
      <c r="E1" s="4">
        <v>3</v>
      </c>
      <c r="F1" s="4" t="s">
        <v>29</v>
      </c>
      <c r="G1" s="4" t="s">
        <v>26</v>
      </c>
    </row>
    <row r="2" spans="1:8">
      <c r="A2" s="4" t="s">
        <v>6</v>
      </c>
      <c r="B2" s="4">
        <v>1000</v>
      </c>
      <c r="C2" s="4">
        <v>2500</v>
      </c>
      <c r="D2" s="4">
        <v>3000</v>
      </c>
      <c r="E2" s="4">
        <v>3500</v>
      </c>
      <c r="F2" s="4" t="e">
        <f>B2+NPV(G2,C2:E2)</f>
        <v>#NUM!</v>
      </c>
      <c r="G2" s="2" t="e">
        <f>+IRR(B2:E2)</f>
        <v>#NUM!</v>
      </c>
      <c r="H2" s="4" t="s">
        <v>30</v>
      </c>
    </row>
    <row r="3" spans="1:8">
      <c r="A3" s="4" t="s">
        <v>31</v>
      </c>
      <c r="B3" s="4">
        <v>-10000</v>
      </c>
      <c r="C3" s="4">
        <v>2500</v>
      </c>
      <c r="D3" s="4">
        <v>3000</v>
      </c>
      <c r="E3" s="4">
        <v>3500</v>
      </c>
      <c r="F3" s="5">
        <f>B3+NPV(G3,C3:E3)</f>
        <v>-5.0622475100681186E-9</v>
      </c>
      <c r="G3" s="12">
        <f>+IRR(B3:E3)</f>
        <v>-4.8322031167124857E-2</v>
      </c>
      <c r="H3" s="4" t="s">
        <v>32</v>
      </c>
    </row>
    <row r="4" spans="1:8">
      <c r="G4" s="2"/>
    </row>
    <row r="5" spans="1:8">
      <c r="A5" s="4" t="s">
        <v>7</v>
      </c>
      <c r="B5" s="4">
        <v>1500</v>
      </c>
      <c r="C5" s="4">
        <v>-2500</v>
      </c>
      <c r="D5" s="4">
        <v>500</v>
      </c>
      <c r="E5" s="4">
        <v>-1200</v>
      </c>
      <c r="F5" s="5">
        <f>B5+NPV(G5,C5:E5)</f>
        <v>0</v>
      </c>
      <c r="G5" s="12">
        <f>+IRR(B5:E5)</f>
        <v>0.73943997799566641</v>
      </c>
      <c r="H5" s="4" t="s">
        <v>33</v>
      </c>
    </row>
    <row r="6" spans="1:8">
      <c r="B6" s="4">
        <v>1500</v>
      </c>
      <c r="C6" s="4">
        <v>-2500</v>
      </c>
      <c r="D6" s="4">
        <v>500</v>
      </c>
      <c r="E6" s="4">
        <v>-1200</v>
      </c>
      <c r="F6" s="5">
        <f>B6+NPV(G6,C6:E6)</f>
        <v>-1261.0818933132982</v>
      </c>
      <c r="G6" s="13">
        <v>0.1</v>
      </c>
      <c r="H6" s="4" t="s">
        <v>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J3"/>
  <sheetViews>
    <sheetView workbookViewId="0"/>
  </sheetViews>
  <sheetFormatPr defaultColWidth="14.42578125" defaultRowHeight="15.75" customHeight="1"/>
  <sheetData>
    <row r="1" spans="1:10">
      <c r="A1" s="4" t="s">
        <v>28</v>
      </c>
      <c r="B1" s="4" t="s">
        <v>35</v>
      </c>
      <c r="C1" s="4">
        <v>0</v>
      </c>
      <c r="D1" s="4">
        <v>1</v>
      </c>
      <c r="E1" s="4">
        <v>2</v>
      </c>
      <c r="F1" s="4">
        <v>3</v>
      </c>
      <c r="G1" s="4">
        <v>4</v>
      </c>
      <c r="H1" s="4">
        <v>5</v>
      </c>
      <c r="I1" s="1610" t="s">
        <v>29</v>
      </c>
      <c r="J1" s="1611"/>
    </row>
    <row r="2" spans="1:10">
      <c r="A2" s="4" t="s">
        <v>36</v>
      </c>
      <c r="B2" s="4">
        <f>SUM(C2:H2)</f>
        <v>15</v>
      </c>
      <c r="C2" s="4">
        <v>0</v>
      </c>
      <c r="D2" s="4">
        <v>3</v>
      </c>
      <c r="E2" s="4">
        <v>3</v>
      </c>
      <c r="F2" s="4">
        <v>3</v>
      </c>
      <c r="G2" s="4">
        <v>3</v>
      </c>
      <c r="H2" s="4">
        <v>3</v>
      </c>
      <c r="I2" s="5">
        <f>C2+NPV(J2,D2:H2)</f>
        <v>11.372360308225341</v>
      </c>
      <c r="J2" s="3">
        <v>0.1</v>
      </c>
    </row>
    <row r="3" spans="1:10">
      <c r="A3" s="2" t="s">
        <v>37</v>
      </c>
      <c r="B3" s="2">
        <f>SUM(C3:H3)</f>
        <v>14</v>
      </c>
      <c r="C3" s="2">
        <v>4</v>
      </c>
      <c r="D3" s="2">
        <v>2</v>
      </c>
      <c r="E3" s="2">
        <v>2</v>
      </c>
      <c r="F3" s="2">
        <v>2</v>
      </c>
      <c r="G3" s="2">
        <v>2</v>
      </c>
      <c r="H3" s="2">
        <v>2</v>
      </c>
      <c r="I3" s="6">
        <f>C3+NPV(J3,D3:H3)</f>
        <v>11.581573538816897</v>
      </c>
      <c r="J3" s="1">
        <v>0.1</v>
      </c>
    </row>
  </sheetData>
  <mergeCells count="1">
    <mergeCell ref="I1:J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
  <sheetViews>
    <sheetView workbookViewId="0"/>
  </sheetViews>
  <sheetFormatPr defaultColWidth="14.42578125" defaultRowHeight="15.75" customHeight="1"/>
  <cols>
    <col min="1" max="1" width="52.85546875" customWidth="1"/>
  </cols>
  <sheetData>
    <row r="1" spans="1:26">
      <c r="A1" s="4" t="s">
        <v>27</v>
      </c>
      <c r="B1" s="4">
        <v>0</v>
      </c>
      <c r="C1" s="4">
        <v>1</v>
      </c>
      <c r="D1" s="4">
        <v>2</v>
      </c>
      <c r="E1" s="4">
        <v>3</v>
      </c>
    </row>
    <row r="2" spans="1:26">
      <c r="A2" s="4" t="s">
        <v>38</v>
      </c>
      <c r="C2" s="4">
        <f>-120/3</f>
        <v>-40</v>
      </c>
      <c r="D2" s="4">
        <f>-120/3</f>
        <v>-40</v>
      </c>
    </row>
    <row r="3" spans="1:26">
      <c r="A3" s="4" t="s">
        <v>39</v>
      </c>
      <c r="D3" s="4">
        <v>-40</v>
      </c>
    </row>
    <row r="4" spans="1:26">
      <c r="A4" s="4" t="s">
        <v>40</v>
      </c>
      <c r="D4" s="4">
        <v>70</v>
      </c>
    </row>
    <row r="5" spans="1:26">
      <c r="A5" s="14" t="s">
        <v>41</v>
      </c>
      <c r="B5" s="14"/>
      <c r="C5" s="14">
        <f>SUM(C2:C4)</f>
        <v>-40</v>
      </c>
      <c r="D5" s="14">
        <f>SUM(D2:D4)</f>
        <v>-10</v>
      </c>
      <c r="E5" s="14">
        <f>SUM(E2:E4)</f>
        <v>0</v>
      </c>
      <c r="F5" s="14"/>
      <c r="G5" s="14"/>
      <c r="H5" s="14"/>
      <c r="I5" s="14"/>
      <c r="J5" s="14"/>
      <c r="K5" s="14"/>
      <c r="L5" s="14"/>
      <c r="M5" s="14"/>
      <c r="N5" s="14"/>
      <c r="O5" s="14"/>
      <c r="P5" s="14"/>
      <c r="Q5" s="14"/>
      <c r="R5" s="14"/>
      <c r="S5" s="14"/>
      <c r="T5" s="14"/>
      <c r="U5" s="14"/>
      <c r="V5" s="14"/>
      <c r="W5" s="14"/>
      <c r="X5" s="14"/>
      <c r="Y5" s="14"/>
      <c r="Z5" s="14"/>
    </row>
    <row r="6" spans="1:26">
      <c r="A6" s="4" t="s">
        <v>42</v>
      </c>
      <c r="C6" s="4">
        <f>C5*0.5</f>
        <v>-20</v>
      </c>
      <c r="D6" s="4">
        <f>D5*0.5</f>
        <v>-5</v>
      </c>
    </row>
    <row r="7" spans="1:26">
      <c r="A7" s="14" t="s">
        <v>41</v>
      </c>
      <c r="B7" s="14"/>
      <c r="C7" s="14">
        <f>C5-C6</f>
        <v>-20</v>
      </c>
      <c r="D7" s="14">
        <f>D5-D6</f>
        <v>-5</v>
      </c>
      <c r="E7" s="14">
        <f>SUM(E5:E6)</f>
        <v>0</v>
      </c>
      <c r="F7" s="14"/>
      <c r="G7" s="14"/>
      <c r="H7" s="14"/>
      <c r="I7" s="14"/>
      <c r="J7" s="14"/>
      <c r="K7" s="14"/>
      <c r="L7" s="14"/>
      <c r="M7" s="14"/>
      <c r="N7" s="14"/>
      <c r="O7" s="14"/>
      <c r="P7" s="14"/>
      <c r="Q7" s="14"/>
      <c r="R7" s="14"/>
      <c r="S7" s="14"/>
      <c r="T7" s="14"/>
      <c r="U7" s="14"/>
      <c r="V7" s="14"/>
      <c r="W7" s="14"/>
      <c r="X7" s="14"/>
      <c r="Y7" s="14"/>
      <c r="Z7" s="14"/>
    </row>
    <row r="8" spans="1:26">
      <c r="A8" s="4" t="s">
        <v>43</v>
      </c>
      <c r="C8" s="4">
        <v>40</v>
      </c>
      <c r="D8" s="4">
        <v>80</v>
      </c>
    </row>
    <row r="9" spans="1:26">
      <c r="A9" s="4" t="s">
        <v>44</v>
      </c>
      <c r="B9" s="4">
        <v>-120</v>
      </c>
    </row>
    <row r="10" spans="1:26">
      <c r="A10" s="4" t="s">
        <v>45</v>
      </c>
      <c r="B10" s="4">
        <f>SUM(B7:B9)</f>
        <v>-120</v>
      </c>
      <c r="C10" s="4">
        <f>SUM(C7:C9)</f>
        <v>20</v>
      </c>
      <c r="D10" s="4">
        <f>SUM(D7:D9)</f>
        <v>75</v>
      </c>
      <c r="E10" s="4">
        <f>SUM(E7:E9)</f>
        <v>0</v>
      </c>
      <c r="F10" s="5">
        <f t="array" ref="F10">B10+NPV(0.1,C10:E10)</f>
        <v>-39.834710743801665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F17"/>
  <sheetViews>
    <sheetView workbookViewId="0">
      <selection activeCell="K37" sqref="K37"/>
    </sheetView>
  </sheetViews>
  <sheetFormatPr defaultColWidth="14.42578125" defaultRowHeight="15.75" customHeight="1"/>
  <cols>
    <col min="1" max="1" width="23.28515625" customWidth="1"/>
  </cols>
  <sheetData>
    <row r="1" spans="1:6">
      <c r="A1" s="4" t="s">
        <v>46</v>
      </c>
      <c r="B1" s="4">
        <v>0</v>
      </c>
      <c r="C1" s="4">
        <v>1</v>
      </c>
      <c r="D1" s="4">
        <v>2</v>
      </c>
      <c r="E1" s="4">
        <v>3</v>
      </c>
      <c r="F1" s="4" t="s">
        <v>47</v>
      </c>
    </row>
    <row r="2" spans="1:6">
      <c r="A2" s="4" t="s">
        <v>48</v>
      </c>
      <c r="C2" s="4">
        <v>26000</v>
      </c>
      <c r="D2" s="4">
        <v>26000</v>
      </c>
      <c r="E2" s="4">
        <v>26000</v>
      </c>
    </row>
    <row r="3" spans="1:6">
      <c r="A3" s="4" t="s">
        <v>49</v>
      </c>
      <c r="E3" s="4">
        <v>60000</v>
      </c>
    </row>
    <row r="4" spans="1:6">
      <c r="A4" s="4" t="s">
        <v>50</v>
      </c>
      <c r="B4" s="4">
        <v>-100000</v>
      </c>
    </row>
    <row r="5" spans="1:6">
      <c r="B5" s="4">
        <f>SUM(B2:B4)</f>
        <v>-100000</v>
      </c>
      <c r="C5" s="4">
        <f>SUM(C2:C3)</f>
        <v>26000</v>
      </c>
      <c r="D5" s="4">
        <f>SUM(D2:D3)</f>
        <v>26000</v>
      </c>
      <c r="E5" s="4">
        <f>SUM(E2:E4)</f>
        <v>86000</v>
      </c>
      <c r="F5" s="6">
        <f t="array" ref="F5">B5+NPV(0.08,C5:E5)</f>
        <v>14634.456129655009</v>
      </c>
    </row>
    <row r="7" spans="1:6">
      <c r="A7" s="4" t="s">
        <v>51</v>
      </c>
      <c r="B7" s="4">
        <v>0</v>
      </c>
      <c r="C7" s="4">
        <v>1</v>
      </c>
      <c r="D7" s="4">
        <v>2</v>
      </c>
      <c r="E7" s="4">
        <v>3</v>
      </c>
    </row>
    <row r="8" spans="1:6">
      <c r="A8" s="4" t="s">
        <v>52</v>
      </c>
      <c r="C8" s="4">
        <v>26000</v>
      </c>
      <c r="D8" s="4">
        <v>26000</v>
      </c>
      <c r="E8" s="4">
        <v>26000</v>
      </c>
    </row>
    <row r="9" spans="1:6">
      <c r="A9" s="4" t="s">
        <v>40</v>
      </c>
      <c r="E9" s="4">
        <v>60000</v>
      </c>
    </row>
    <row r="10" spans="1:6">
      <c r="A10" s="4" t="s">
        <v>53</v>
      </c>
      <c r="C10" s="4">
        <f>-100000/5</f>
        <v>-20000</v>
      </c>
      <c r="D10" s="4">
        <f>-100000/5</f>
        <v>-20000</v>
      </c>
      <c r="E10" s="4">
        <f>-100000/5</f>
        <v>-20000</v>
      </c>
    </row>
    <row r="11" spans="1:6">
      <c r="A11" s="4" t="s">
        <v>54</v>
      </c>
      <c r="E11" s="4">
        <v>-40000</v>
      </c>
    </row>
    <row r="12" spans="1:6">
      <c r="A12" s="4" t="s">
        <v>55</v>
      </c>
      <c r="B12" s="4">
        <f>SUM(B8:B11)</f>
        <v>0</v>
      </c>
      <c r="C12" s="4">
        <f>SUM(C8:C11)</f>
        <v>6000</v>
      </c>
      <c r="D12" s="4">
        <f>SUM(D8:D11)</f>
        <v>6000</v>
      </c>
      <c r="E12" s="4">
        <f>SUM(E8:E11)</f>
        <v>26000</v>
      </c>
    </row>
    <row r="13" spans="1:6">
      <c r="A13" s="4" t="s">
        <v>56</v>
      </c>
      <c r="B13" s="4">
        <f>B12*-0.35</f>
        <v>0</v>
      </c>
      <c r="C13" s="4">
        <f>C12*-0.35</f>
        <v>-2100</v>
      </c>
      <c r="D13" s="4">
        <f>D12*-0.35</f>
        <v>-2100</v>
      </c>
      <c r="E13" s="4">
        <f>E12*-0.35</f>
        <v>-9100</v>
      </c>
    </row>
    <row r="14" spans="1:6">
      <c r="A14" s="4" t="s">
        <v>57</v>
      </c>
      <c r="B14" s="4">
        <f>B13+B12</f>
        <v>0</v>
      </c>
      <c r="C14" s="4">
        <f>C13+C12</f>
        <v>3900</v>
      </c>
      <c r="D14" s="4">
        <f>D13+D12</f>
        <v>3900</v>
      </c>
      <c r="E14" s="4">
        <f>E13+E12</f>
        <v>16900</v>
      </c>
    </row>
    <row r="15" spans="1:6">
      <c r="A15" s="4" t="s">
        <v>58</v>
      </c>
      <c r="C15" s="4">
        <v>20000</v>
      </c>
      <c r="D15" s="4">
        <v>20000</v>
      </c>
      <c r="E15" s="4">
        <v>60000</v>
      </c>
    </row>
    <row r="16" spans="1:6">
      <c r="A16" s="4" t="s">
        <v>59</v>
      </c>
      <c r="B16" s="4">
        <v>-100000</v>
      </c>
    </row>
    <row r="17" spans="1:6">
      <c r="A17" s="4" t="s">
        <v>60</v>
      </c>
      <c r="B17" s="4">
        <f>B16+B15+B14</f>
        <v>-100000</v>
      </c>
      <c r="C17" s="4">
        <f>C16+C15+C14</f>
        <v>23900</v>
      </c>
      <c r="D17" s="4">
        <f>D16+D15+D14</f>
        <v>23900</v>
      </c>
      <c r="E17" s="4">
        <f>E16+E15+E14</f>
        <v>76900</v>
      </c>
      <c r="F17" s="6">
        <f t="array" ref="F17">B17+NPV(0.08,C17:E17)</f>
        <v>3665.7267692932946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2"/>
  <sheetViews>
    <sheetView workbookViewId="0"/>
  </sheetViews>
  <sheetFormatPr defaultColWidth="14.42578125" defaultRowHeight="15.75" customHeight="1"/>
  <sheetData>
    <row r="1" spans="1:1">
      <c r="A1" s="4" t="s">
        <v>61</v>
      </c>
    </row>
    <row r="2" spans="1:1">
      <c r="A2" s="4" t="s">
        <v>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7"/>
  <sheetViews>
    <sheetView workbookViewId="0"/>
  </sheetViews>
  <sheetFormatPr defaultColWidth="14.42578125" defaultRowHeight="15.75" customHeight="1"/>
  <sheetData>
    <row r="1" spans="1:1">
      <c r="A1" s="4" t="s">
        <v>63</v>
      </c>
    </row>
    <row r="2" spans="1:1">
      <c r="A2" s="4" t="s">
        <v>64</v>
      </c>
    </row>
    <row r="3" spans="1:1">
      <c r="A3" s="4" t="s">
        <v>65</v>
      </c>
    </row>
    <row r="4" spans="1:1">
      <c r="A4" s="4" t="s">
        <v>66</v>
      </c>
    </row>
    <row r="5" spans="1:1">
      <c r="A5" s="4" t="s">
        <v>67</v>
      </c>
    </row>
    <row r="7" spans="1:1">
      <c r="A7" s="4" t="s">
        <v>68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30"/>
  <sheetViews>
    <sheetView workbookViewId="0"/>
  </sheetViews>
  <sheetFormatPr defaultColWidth="14.42578125" defaultRowHeight="15.75" customHeight="1"/>
  <cols>
    <col min="1" max="1" width="13.28515625" customWidth="1"/>
    <col min="2" max="2" width="15.140625" customWidth="1"/>
    <col min="3" max="7" width="14.140625" customWidth="1"/>
  </cols>
  <sheetData>
    <row r="1" spans="1:26">
      <c r="A1" s="10" t="s">
        <v>6</v>
      </c>
      <c r="B1" s="10">
        <v>0</v>
      </c>
      <c r="C1" s="10">
        <v>1</v>
      </c>
      <c r="D1" s="10">
        <v>2</v>
      </c>
      <c r="E1" s="10">
        <v>3</v>
      </c>
      <c r="F1" s="10">
        <v>4</v>
      </c>
      <c r="G1" s="10">
        <v>5</v>
      </c>
      <c r="H1" s="10"/>
      <c r="I1" s="10"/>
      <c r="J1" s="10"/>
      <c r="K1" s="10"/>
      <c r="L1" s="10"/>
      <c r="M1" s="10"/>
      <c r="N1" s="10"/>
      <c r="O1" s="10"/>
      <c r="P1" s="10"/>
      <c r="Q1" s="10"/>
      <c r="R1" s="10"/>
      <c r="S1" s="10"/>
      <c r="T1" s="10"/>
      <c r="U1" s="10"/>
      <c r="V1" s="10"/>
      <c r="W1" s="10"/>
      <c r="X1" s="10"/>
      <c r="Y1" s="10"/>
      <c r="Z1" s="10"/>
    </row>
    <row r="2" spans="1:26">
      <c r="A2" s="4" t="s">
        <v>69</v>
      </c>
      <c r="B2" s="15"/>
      <c r="C2" s="15">
        <v>360000</v>
      </c>
      <c r="D2" s="15">
        <v>540000</v>
      </c>
      <c r="E2" s="15">
        <v>900000</v>
      </c>
      <c r="F2" s="15">
        <v>1440000</v>
      </c>
      <c r="G2" s="15">
        <v>1440000</v>
      </c>
    </row>
    <row r="3" spans="1:26">
      <c r="A3" s="4" t="s">
        <v>59</v>
      </c>
      <c r="B3" s="5">
        <v>-25000000</v>
      </c>
      <c r="C3" s="5"/>
      <c r="D3" s="5"/>
      <c r="E3" s="5"/>
      <c r="F3" s="5"/>
      <c r="G3" s="5"/>
    </row>
    <row r="4" spans="1:26">
      <c r="A4" s="4" t="s">
        <v>38</v>
      </c>
      <c r="B4" s="5"/>
      <c r="C4" s="5">
        <f>$B3/6</f>
        <v>-4166666.6666666665</v>
      </c>
      <c r="D4" s="5">
        <f>$B3/6</f>
        <v>-4166666.6666666665</v>
      </c>
      <c r="E4" s="5">
        <f>$B3/6</f>
        <v>-4166666.6666666665</v>
      </c>
      <c r="F4" s="5">
        <f>$B3/6</f>
        <v>-4166666.6666666665</v>
      </c>
      <c r="G4" s="5">
        <f>$B3/6</f>
        <v>-4166666.6666666665</v>
      </c>
    </row>
    <row r="5" spans="1:26">
      <c r="A5" s="4" t="s">
        <v>70</v>
      </c>
      <c r="B5" s="5"/>
      <c r="C5" s="5"/>
      <c r="D5" s="5"/>
      <c r="E5" s="5"/>
      <c r="F5" s="5"/>
      <c r="G5" s="5">
        <f>B3-(SUM(C4:G4))</f>
        <v>-4166666.6666666679</v>
      </c>
    </row>
    <row r="6" spans="1:26">
      <c r="A6" s="4" t="s">
        <v>71</v>
      </c>
      <c r="B6" s="5"/>
      <c r="C6" s="5"/>
      <c r="D6" s="5"/>
      <c r="E6" s="5"/>
      <c r="F6" s="5"/>
      <c r="G6" s="5">
        <v>2500000</v>
      </c>
    </row>
    <row r="7" spans="1:26">
      <c r="A7" s="4" t="s">
        <v>72</v>
      </c>
      <c r="B7" s="5"/>
      <c r="C7" s="5">
        <v>-4000000</v>
      </c>
      <c r="D7" s="5">
        <v>-4000000</v>
      </c>
      <c r="E7" s="5">
        <v>-4000000</v>
      </c>
      <c r="F7" s="5">
        <v>-4000000</v>
      </c>
      <c r="G7" s="5">
        <v>-4000000</v>
      </c>
    </row>
    <row r="8" spans="1:26">
      <c r="A8" s="4" t="s">
        <v>73</v>
      </c>
      <c r="B8" s="5"/>
      <c r="C8" s="5">
        <f>-3*C2</f>
        <v>-1080000</v>
      </c>
      <c r="D8" s="5">
        <f>-3*D2</f>
        <v>-1620000</v>
      </c>
      <c r="E8" s="5">
        <f>-3*E2</f>
        <v>-2700000</v>
      </c>
      <c r="F8" s="5">
        <f>-3*F2</f>
        <v>-4320000</v>
      </c>
      <c r="G8" s="5">
        <f>-3*G2</f>
        <v>-4320000</v>
      </c>
    </row>
    <row r="9" spans="1:26">
      <c r="A9" s="4" t="s">
        <v>74</v>
      </c>
      <c r="B9" s="5"/>
      <c r="C9" s="5">
        <f>SUM(C3:C8)</f>
        <v>-9246666.666666666</v>
      </c>
      <c r="D9" s="5">
        <f>SUM(D3:D8)</f>
        <v>-9786666.666666666</v>
      </c>
      <c r="E9" s="5">
        <f>SUM(E3:E8)</f>
        <v>-10866666.666666666</v>
      </c>
      <c r="F9" s="5">
        <f>SUM(F3:F8)</f>
        <v>-12486666.666666666</v>
      </c>
      <c r="G9" s="5">
        <f>SUM(G3:G8)</f>
        <v>-14153333.333333334</v>
      </c>
      <c r="H9" s="5"/>
    </row>
    <row r="10" spans="1:26">
      <c r="A10" s="4" t="s">
        <v>75</v>
      </c>
      <c r="C10" s="5">
        <f>C9*0.15</f>
        <v>-1386999.9999999998</v>
      </c>
      <c r="D10" s="5">
        <f>D9*0.15</f>
        <v>-1467999.9999999998</v>
      </c>
      <c r="E10" s="5">
        <f>E9*0.15</f>
        <v>-1629999.9999999998</v>
      </c>
      <c r="F10" s="5">
        <f>F9*0.15</f>
        <v>-1872999.9999999998</v>
      </c>
      <c r="G10" s="5">
        <f>G9*0.15</f>
        <v>-2123000</v>
      </c>
    </row>
    <row r="11" spans="1:26">
      <c r="A11" s="4" t="s">
        <v>76</v>
      </c>
      <c r="C11" s="5">
        <f>C9-C10</f>
        <v>-7859666.666666666</v>
      </c>
      <c r="D11" s="5">
        <f>D9-D10</f>
        <v>-8318666.666666666</v>
      </c>
      <c r="E11" s="5">
        <f>E9-E10</f>
        <v>-9236666.666666666</v>
      </c>
      <c r="F11" s="5">
        <f>F9-F10</f>
        <v>-10613666.666666666</v>
      </c>
      <c r="G11" s="5">
        <f>G9-G10</f>
        <v>-12030333.333333334</v>
      </c>
    </row>
    <row r="12" spans="1:26">
      <c r="A12" s="4" t="s">
        <v>77</v>
      </c>
      <c r="C12" s="5">
        <f>-C4</f>
        <v>4166666.6666666665</v>
      </c>
      <c r="D12" s="5">
        <f>-D4</f>
        <v>4166666.6666666665</v>
      </c>
      <c r="E12" s="5">
        <f>-E4</f>
        <v>4166666.6666666665</v>
      </c>
      <c r="F12" s="5">
        <f>-F4</f>
        <v>4166666.6666666665</v>
      </c>
      <c r="G12" s="5">
        <f>-G4-G5</f>
        <v>8333333.333333334</v>
      </c>
    </row>
    <row r="13" spans="1:26">
      <c r="A13" s="4" t="s">
        <v>59</v>
      </c>
    </row>
    <row r="14" spans="1:26">
      <c r="A14" s="4" t="s">
        <v>78</v>
      </c>
      <c r="B14" s="5">
        <f>B3</f>
        <v>-25000000</v>
      </c>
      <c r="C14" s="5">
        <f>C12+C11</f>
        <v>-3692999.9999999995</v>
      </c>
      <c r="D14" s="5">
        <f>D12+D11</f>
        <v>-4151999.9999999995</v>
      </c>
      <c r="E14" s="5">
        <f>E12+E11</f>
        <v>-5070000</v>
      </c>
      <c r="F14" s="5">
        <f>F12+F11</f>
        <v>-6447000</v>
      </c>
      <c r="G14" s="5">
        <f>G12+G11</f>
        <v>-3697000</v>
      </c>
      <c r="H14" s="6">
        <f t="array" ref="H14">B14+NPV(0.1,C14:G14)</f>
        <v>-42296777.604609713</v>
      </c>
    </row>
    <row r="15" spans="1:26">
      <c r="A15" s="10" t="s">
        <v>7</v>
      </c>
      <c r="B15" s="10">
        <v>0</v>
      </c>
      <c r="C15" s="10">
        <v>1</v>
      </c>
      <c r="D15" s="10">
        <v>2</v>
      </c>
      <c r="E15" s="10">
        <v>3</v>
      </c>
      <c r="F15" s="10">
        <v>4</v>
      </c>
      <c r="G15" s="10">
        <v>5</v>
      </c>
      <c r="H15" s="10"/>
      <c r="I15" s="10"/>
      <c r="J15" s="10"/>
      <c r="K15" s="10"/>
      <c r="L15" s="10"/>
      <c r="M15" s="10"/>
      <c r="N15" s="10"/>
      <c r="O15" s="10"/>
      <c r="P15" s="10"/>
      <c r="Q15" s="10"/>
      <c r="R15" s="10"/>
      <c r="S15" s="10"/>
      <c r="T15" s="10"/>
      <c r="U15" s="10"/>
      <c r="V15" s="10"/>
      <c r="W15" s="10"/>
      <c r="X15" s="10"/>
      <c r="Y15" s="10"/>
      <c r="Z15" s="10"/>
    </row>
    <row r="16" spans="1:26">
      <c r="A16" s="4" t="s">
        <v>69</v>
      </c>
      <c r="B16" s="15"/>
      <c r="C16" s="15">
        <v>360000</v>
      </c>
      <c r="D16" s="15">
        <v>540000</v>
      </c>
      <c r="E16" s="15">
        <v>900000</v>
      </c>
      <c r="F16" s="15">
        <v>1440000</v>
      </c>
      <c r="G16" s="15">
        <v>1440000</v>
      </c>
    </row>
    <row r="17" spans="1:26">
      <c r="A17" s="4" t="s">
        <v>79</v>
      </c>
      <c r="C17" s="5">
        <f>$B27/3</f>
        <v>-3333333.3333333335</v>
      </c>
      <c r="D17" s="5">
        <f>$B27/3</f>
        <v>-3333333.3333333335</v>
      </c>
      <c r="E17" s="5">
        <f>$B27/3</f>
        <v>-3333333.3333333335</v>
      </c>
    </row>
    <row r="18" spans="1:26">
      <c r="A18" s="4" t="s">
        <v>80</v>
      </c>
      <c r="E18" s="5">
        <v>1000000</v>
      </c>
    </row>
    <row r="19" spans="1:26">
      <c r="A19" s="4" t="s">
        <v>38</v>
      </c>
      <c r="F19" s="5">
        <f>$E27/3</f>
        <v>-6666666.666666667</v>
      </c>
      <c r="G19" s="5">
        <f>$E$27/3</f>
        <v>-6666666.666666667</v>
      </c>
    </row>
    <row r="20" spans="1:26">
      <c r="A20" s="4" t="s">
        <v>70</v>
      </c>
      <c r="G20" s="5">
        <f>$E$27-SUM(F19:G19)</f>
        <v>-6666666.666666666</v>
      </c>
    </row>
    <row r="21" spans="1:26">
      <c r="A21" s="4" t="s">
        <v>49</v>
      </c>
      <c r="G21" s="5">
        <v>6000000</v>
      </c>
    </row>
    <row r="22" spans="1:26">
      <c r="A22" s="4" t="s">
        <v>72</v>
      </c>
      <c r="C22" s="5">
        <v>-2400000</v>
      </c>
      <c r="D22" s="5">
        <v>-2400000</v>
      </c>
      <c r="E22" s="5">
        <v>-2400000</v>
      </c>
      <c r="F22" s="5">
        <f>-2400000*2</f>
        <v>-4800000</v>
      </c>
      <c r="G22" s="5">
        <f>-2400000*2</f>
        <v>-4800000</v>
      </c>
    </row>
    <row r="23" spans="1:26">
      <c r="A23" s="4" t="s">
        <v>73</v>
      </c>
      <c r="C23" s="5">
        <f>-3.1*C16</f>
        <v>-1116000</v>
      </c>
      <c r="D23" s="5">
        <f>-3.1*D16</f>
        <v>-1674000</v>
      </c>
      <c r="E23" s="5">
        <f>-3.1*E16</f>
        <v>-2790000</v>
      </c>
      <c r="F23" s="5">
        <f>-3.1*F16</f>
        <v>-4464000</v>
      </c>
      <c r="G23" s="5">
        <f>-3.1*G16</f>
        <v>-4464000</v>
      </c>
    </row>
    <row r="24" spans="1:26">
      <c r="A24" s="16" t="s">
        <v>81</v>
      </c>
      <c r="B24" s="16"/>
      <c r="C24" s="17">
        <f>SUM(C17:C23)</f>
        <v>-6849333.333333334</v>
      </c>
      <c r="D24" s="17">
        <f>SUM(D17:D23)</f>
        <v>-7407333.333333334</v>
      </c>
      <c r="E24" s="17">
        <f>SUM(E17:E23)</f>
        <v>-7523333.333333334</v>
      </c>
      <c r="F24" s="17">
        <f>SUM(F17:F23)</f>
        <v>-15930666.666666668</v>
      </c>
      <c r="G24" s="17">
        <f>SUM(G17:G23)</f>
        <v>-16597333.333333332</v>
      </c>
      <c r="H24" s="16"/>
      <c r="I24" s="16"/>
      <c r="J24" s="16"/>
      <c r="K24" s="16"/>
      <c r="L24" s="16"/>
      <c r="M24" s="16"/>
      <c r="N24" s="16"/>
      <c r="O24" s="16"/>
      <c r="P24" s="16"/>
      <c r="Q24" s="16"/>
      <c r="R24" s="16"/>
      <c r="S24" s="16"/>
      <c r="T24" s="16"/>
      <c r="U24" s="16"/>
      <c r="V24" s="16"/>
      <c r="W24" s="16"/>
      <c r="X24" s="16"/>
      <c r="Y24" s="16"/>
      <c r="Z24" s="16"/>
    </row>
    <row r="25" spans="1:26">
      <c r="A25" s="4" t="s">
        <v>75</v>
      </c>
      <c r="C25" s="5">
        <f>C24*0.15</f>
        <v>-1027400</v>
      </c>
      <c r="D25" s="5">
        <f>D24*0.15</f>
        <v>-1111100</v>
      </c>
      <c r="E25" s="5">
        <f>E24*0.15</f>
        <v>-1128500</v>
      </c>
      <c r="F25" s="5">
        <f>F24*0.15</f>
        <v>-2389600</v>
      </c>
      <c r="G25" s="5">
        <f>G24*0.15</f>
        <v>-2489599.9999999995</v>
      </c>
    </row>
    <row r="26" spans="1:26">
      <c r="A26" s="16" t="s">
        <v>76</v>
      </c>
      <c r="B26" s="16"/>
      <c r="C26" s="17">
        <f>C24-C25</f>
        <v>-5821933.333333334</v>
      </c>
      <c r="D26" s="17">
        <f>D24-D25</f>
        <v>-6296233.333333334</v>
      </c>
      <c r="E26" s="17">
        <f>E24-E25</f>
        <v>-6394833.333333334</v>
      </c>
      <c r="F26" s="17">
        <f>F24-F25</f>
        <v>-13541066.666666668</v>
      </c>
      <c r="G26" s="17">
        <f>G24-G25</f>
        <v>-14107733.333333332</v>
      </c>
      <c r="H26" s="16"/>
      <c r="I26" s="16"/>
      <c r="J26" s="16"/>
      <c r="K26" s="16"/>
      <c r="L26" s="16"/>
      <c r="M26" s="16"/>
      <c r="N26" s="16"/>
      <c r="O26" s="16"/>
      <c r="P26" s="16"/>
      <c r="Q26" s="16"/>
      <c r="R26" s="16"/>
      <c r="S26" s="16"/>
      <c r="T26" s="16"/>
      <c r="U26" s="16"/>
      <c r="V26" s="16"/>
      <c r="W26" s="16"/>
      <c r="X26" s="16"/>
      <c r="Y26" s="16"/>
      <c r="Z26" s="16"/>
    </row>
    <row r="27" spans="1:26">
      <c r="B27" s="5">
        <v>-10000000</v>
      </c>
      <c r="E27" s="5">
        <v>-20000000</v>
      </c>
    </row>
    <row r="28" spans="1:26">
      <c r="A28" s="4" t="s">
        <v>77</v>
      </c>
      <c r="C28" s="5">
        <f>-C17</f>
        <v>3333333.3333333335</v>
      </c>
      <c r="D28" s="5">
        <f>-D17</f>
        <v>3333333.3333333335</v>
      </c>
      <c r="E28" s="5">
        <f>-E17</f>
        <v>3333333.3333333335</v>
      </c>
      <c r="F28" s="5">
        <f>-F19</f>
        <v>6666666.666666667</v>
      </c>
      <c r="G28" s="5">
        <f>-G19-G20</f>
        <v>13333333.333333332</v>
      </c>
    </row>
    <row r="29" spans="1:26">
      <c r="A29" s="4" t="s">
        <v>78</v>
      </c>
      <c r="B29" s="5">
        <f t="shared" ref="B29:G29" si="0">B28+B26+B27</f>
        <v>-10000000</v>
      </c>
      <c r="C29" s="5">
        <f t="shared" si="0"/>
        <v>-2488600.0000000005</v>
      </c>
      <c r="D29" s="5">
        <f t="shared" si="0"/>
        <v>-2962900.0000000005</v>
      </c>
      <c r="E29" s="5">
        <f t="shared" si="0"/>
        <v>-23061500</v>
      </c>
      <c r="F29" s="5">
        <f t="shared" si="0"/>
        <v>-6874400.0000000009</v>
      </c>
      <c r="G29" s="5">
        <f t="shared" si="0"/>
        <v>-774400</v>
      </c>
      <c r="H29" s="6">
        <f t="array" ref="H29">B29+NPV(0.1,C29:G29)</f>
        <v>-37213636.773444429</v>
      </c>
    </row>
    <row r="30" spans="1:26">
      <c r="A30" s="18"/>
      <c r="B30" s="18"/>
      <c r="C30" s="18"/>
      <c r="D30" s="18"/>
      <c r="E30" s="18"/>
      <c r="F30" s="18"/>
      <c r="G30" s="19" t="s">
        <v>82</v>
      </c>
      <c r="H30" s="20">
        <f>H29-H14</f>
        <v>5083140.8311652839</v>
      </c>
      <c r="I30" s="18"/>
      <c r="J30" s="18"/>
      <c r="K30" s="18"/>
      <c r="L30" s="18"/>
      <c r="M30" s="18"/>
      <c r="N30" s="18"/>
      <c r="O30" s="18"/>
      <c r="P30" s="18"/>
      <c r="Q30" s="18"/>
      <c r="R30" s="18"/>
      <c r="S30" s="18"/>
      <c r="T30" s="18"/>
      <c r="U30" s="18"/>
      <c r="V30" s="18"/>
      <c r="W30" s="18"/>
      <c r="X30" s="18"/>
      <c r="Y30" s="18"/>
      <c r="Z30" s="1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27"/>
  <sheetViews>
    <sheetView workbookViewId="0"/>
  </sheetViews>
  <sheetFormatPr defaultColWidth="14.42578125" defaultRowHeight="15.75" customHeight="1"/>
  <sheetData>
    <row r="1" spans="1:26">
      <c r="A1" s="10" t="s">
        <v>6</v>
      </c>
      <c r="B1" s="10">
        <v>0</v>
      </c>
      <c r="C1" s="10">
        <v>1</v>
      </c>
      <c r="D1" s="10">
        <v>2</v>
      </c>
      <c r="E1" s="10">
        <v>3</v>
      </c>
      <c r="F1" s="10">
        <v>4</v>
      </c>
      <c r="G1" s="10">
        <v>5</v>
      </c>
      <c r="H1" s="10"/>
      <c r="I1" s="10"/>
      <c r="J1" s="10"/>
      <c r="K1" s="10"/>
      <c r="L1" s="10"/>
      <c r="M1" s="10"/>
      <c r="N1" s="10"/>
      <c r="O1" s="10"/>
      <c r="P1" s="10"/>
      <c r="Q1" s="10"/>
      <c r="R1" s="10"/>
      <c r="S1" s="10"/>
      <c r="T1" s="10"/>
      <c r="U1" s="10"/>
      <c r="V1" s="10"/>
      <c r="W1" s="10"/>
      <c r="X1" s="10"/>
      <c r="Y1" s="10"/>
      <c r="Z1" s="10"/>
    </row>
    <row r="2" spans="1:26">
      <c r="A2" s="4" t="s">
        <v>69</v>
      </c>
      <c r="C2" s="4">
        <v>430000</v>
      </c>
      <c r="D2" s="4">
        <v>430000</v>
      </c>
      <c r="E2" s="4">
        <v>430000</v>
      </c>
      <c r="F2" s="4">
        <v>430000</v>
      </c>
      <c r="G2" s="4">
        <v>430000</v>
      </c>
    </row>
    <row r="3" spans="1:26">
      <c r="A3" s="4" t="s">
        <v>83</v>
      </c>
      <c r="C3" s="4">
        <f>(60+40+20)*C2*-1</f>
        <v>-51600000</v>
      </c>
      <c r="D3" s="4">
        <f>(60+40+20)*D2*-1</f>
        <v>-51600000</v>
      </c>
      <c r="E3" s="4">
        <f>(60+40+20)*E2*-1</f>
        <v>-51600000</v>
      </c>
      <c r="F3" s="4">
        <f>(60+40+20)*F2*-1</f>
        <v>-51600000</v>
      </c>
      <c r="G3" s="4">
        <f>(60+40+20)*G2*-1</f>
        <v>-51600000</v>
      </c>
    </row>
    <row r="4" spans="1:26">
      <c r="A4" s="4" t="s">
        <v>84</v>
      </c>
      <c r="C4" s="4">
        <v>-22000000</v>
      </c>
      <c r="D4" s="4">
        <v>-22000000</v>
      </c>
      <c r="E4" s="4">
        <v>-22000000</v>
      </c>
      <c r="F4" s="4">
        <v>-22000000</v>
      </c>
      <c r="G4" s="4">
        <v>-22000000</v>
      </c>
    </row>
    <row r="5" spans="1:26">
      <c r="A5" s="4" t="s">
        <v>85</v>
      </c>
      <c r="C5" s="4">
        <f>$B$12/10</f>
        <v>-8000000</v>
      </c>
      <c r="D5" s="4">
        <f>$B$12/10</f>
        <v>-8000000</v>
      </c>
      <c r="E5" s="4">
        <f>$B$12/10</f>
        <v>-8000000</v>
      </c>
      <c r="F5" s="4">
        <f>$B$12/10</f>
        <v>-8000000</v>
      </c>
      <c r="G5" s="4">
        <f>$B$12/10</f>
        <v>-8000000</v>
      </c>
    </row>
    <row r="6" spans="1:26">
      <c r="A6" s="4" t="s">
        <v>86</v>
      </c>
      <c r="G6" s="4">
        <v>-40000000</v>
      </c>
    </row>
    <row r="7" spans="1:26">
      <c r="A7" s="4" t="s">
        <v>87</v>
      </c>
      <c r="G7" s="4">
        <v>25000000</v>
      </c>
    </row>
    <row r="8" spans="1:26">
      <c r="A8" s="16" t="s">
        <v>88</v>
      </c>
      <c r="B8" s="16"/>
      <c r="C8" s="16">
        <f>SUM(C3:C7)</f>
        <v>-81600000</v>
      </c>
      <c r="D8" s="16">
        <f>SUM(D3:D7)</f>
        <v>-81600000</v>
      </c>
      <c r="E8" s="16">
        <f>SUM(E3:E7)</f>
        <v>-81600000</v>
      </c>
      <c r="F8" s="16">
        <f>SUM(F3:F7)</f>
        <v>-81600000</v>
      </c>
      <c r="G8" s="16">
        <f>SUM(G3:G7)</f>
        <v>-96600000</v>
      </c>
      <c r="H8" s="16"/>
      <c r="I8" s="16"/>
      <c r="J8" s="16"/>
      <c r="K8" s="16"/>
      <c r="L8" s="16"/>
      <c r="M8" s="16"/>
      <c r="N8" s="16"/>
      <c r="O8" s="16"/>
      <c r="P8" s="16"/>
      <c r="Q8" s="16"/>
      <c r="R8" s="16"/>
      <c r="S8" s="16"/>
      <c r="T8" s="16"/>
      <c r="U8" s="16"/>
      <c r="V8" s="16"/>
      <c r="W8" s="16"/>
      <c r="X8" s="16"/>
      <c r="Y8" s="16"/>
      <c r="Z8" s="16"/>
    </row>
    <row r="9" spans="1:26">
      <c r="A9" s="4" t="s">
        <v>89</v>
      </c>
      <c r="C9" s="4">
        <f>C8*0.35</f>
        <v>-28560000</v>
      </c>
      <c r="D9" s="4">
        <f>D8*0.35</f>
        <v>-28560000</v>
      </c>
      <c r="E9" s="4">
        <f>E8*0.35</f>
        <v>-28560000</v>
      </c>
      <c r="F9" s="4">
        <f>F8*0.35</f>
        <v>-28560000</v>
      </c>
      <c r="G9" s="4">
        <f>G8*0.35</f>
        <v>-33810000</v>
      </c>
    </row>
    <row r="10" spans="1:26">
      <c r="A10" s="16" t="s">
        <v>90</v>
      </c>
      <c r="B10" s="16"/>
      <c r="C10" s="16">
        <f>C8-C9</f>
        <v>-53040000</v>
      </c>
      <c r="D10" s="16">
        <f>D8-D9</f>
        <v>-53040000</v>
      </c>
      <c r="E10" s="16">
        <f>E8-E9</f>
        <v>-53040000</v>
      </c>
      <c r="F10" s="16">
        <f>F8-F9</f>
        <v>-53040000</v>
      </c>
      <c r="G10" s="16">
        <f>G8-G9</f>
        <v>-62790000</v>
      </c>
      <c r="H10" s="16"/>
      <c r="I10" s="16"/>
      <c r="J10" s="16"/>
      <c r="K10" s="16"/>
      <c r="L10" s="16"/>
      <c r="M10" s="16"/>
      <c r="N10" s="16"/>
      <c r="O10" s="16"/>
      <c r="P10" s="16"/>
      <c r="Q10" s="16"/>
      <c r="R10" s="16"/>
      <c r="S10" s="16"/>
      <c r="T10" s="16"/>
      <c r="U10" s="16"/>
      <c r="V10" s="16"/>
      <c r="W10" s="16"/>
      <c r="X10" s="16"/>
      <c r="Y10" s="16"/>
      <c r="Z10" s="16"/>
    </row>
    <row r="11" spans="1:26">
      <c r="A11" s="4" t="s">
        <v>77</v>
      </c>
      <c r="C11" s="4">
        <f>-C5</f>
        <v>8000000</v>
      </c>
      <c r="D11" s="4">
        <f>-D5</f>
        <v>8000000</v>
      </c>
      <c r="E11" s="4">
        <f>-E5</f>
        <v>8000000</v>
      </c>
      <c r="F11" s="4">
        <f>-F5</f>
        <v>8000000</v>
      </c>
      <c r="G11" s="4">
        <f>-G5-G6</f>
        <v>48000000</v>
      </c>
    </row>
    <row r="12" spans="1:26">
      <c r="A12" s="4" t="s">
        <v>59</v>
      </c>
      <c r="B12" s="4">
        <v>-80000000</v>
      </c>
      <c r="H12" s="4" t="s">
        <v>91</v>
      </c>
    </row>
    <row r="13" spans="1:26">
      <c r="B13" s="4">
        <f t="shared" ref="B13:G13" si="0">SUM(B10:B12)</f>
        <v>-80000000</v>
      </c>
      <c r="C13" s="4">
        <f t="shared" si="0"/>
        <v>-45040000</v>
      </c>
      <c r="D13" s="4">
        <f t="shared" si="0"/>
        <v>-45040000</v>
      </c>
      <c r="E13" s="4">
        <f t="shared" si="0"/>
        <v>-45040000</v>
      </c>
      <c r="F13" s="4">
        <f t="shared" si="0"/>
        <v>-45040000</v>
      </c>
      <c r="G13" s="4">
        <f t="shared" si="0"/>
        <v>-14790000</v>
      </c>
      <c r="H13" s="6">
        <f t="array" ref="H13">B13+NPV(0.12,C13:G13)</f>
        <v>-225194457.76813135</v>
      </c>
      <c r="I13" s="4" t="b">
        <f>H13&gt;H26</f>
        <v>1</v>
      </c>
    </row>
    <row r="14" spans="1:26">
      <c r="A14" s="10" t="s">
        <v>7</v>
      </c>
      <c r="B14" s="10">
        <v>0</v>
      </c>
      <c r="C14" s="10">
        <v>1</v>
      </c>
      <c r="D14" s="10">
        <v>2</v>
      </c>
      <c r="E14" s="10">
        <v>3</v>
      </c>
      <c r="F14" s="10">
        <v>4</v>
      </c>
      <c r="G14" s="10">
        <v>5</v>
      </c>
      <c r="H14" s="10"/>
      <c r="I14" s="10"/>
      <c r="J14" s="10"/>
      <c r="K14" s="10"/>
      <c r="L14" s="10"/>
      <c r="M14" s="10"/>
      <c r="N14" s="10"/>
      <c r="O14" s="10"/>
      <c r="P14" s="10"/>
      <c r="Q14" s="10"/>
      <c r="R14" s="10"/>
      <c r="S14" s="10"/>
      <c r="T14" s="10"/>
      <c r="U14" s="10"/>
      <c r="V14" s="10"/>
      <c r="W14" s="10"/>
      <c r="X14" s="10"/>
      <c r="Y14" s="10"/>
      <c r="Z14" s="10"/>
    </row>
    <row r="15" spans="1:26">
      <c r="A15" s="4" t="s">
        <v>69</v>
      </c>
      <c r="C15" s="4">
        <v>430000</v>
      </c>
      <c r="D15" s="4">
        <v>430000</v>
      </c>
      <c r="E15" s="4">
        <v>430000</v>
      </c>
      <c r="F15" s="4">
        <v>430000</v>
      </c>
      <c r="G15" s="4">
        <v>430000</v>
      </c>
    </row>
    <row r="16" spans="1:26">
      <c r="A16" s="4" t="s">
        <v>83</v>
      </c>
      <c r="C16" s="4">
        <f>(50+80+20)*C15*-1</f>
        <v>-64500000</v>
      </c>
      <c r="D16" s="4">
        <f>(50+80+20)*D15*-1</f>
        <v>-64500000</v>
      </c>
      <c r="E16" s="4">
        <f>(50+80+20)*E15*-1</f>
        <v>-64500000</v>
      </c>
      <c r="F16" s="4">
        <f>(50+80+20)*F15*-1</f>
        <v>-64500000</v>
      </c>
      <c r="G16" s="4">
        <f>(50+80+20)*G15*-1</f>
        <v>-64500000</v>
      </c>
    </row>
    <row r="17" spans="1:10">
      <c r="A17" s="4" t="s">
        <v>84</v>
      </c>
      <c r="C17" s="4">
        <v>-18000000</v>
      </c>
      <c r="D17" s="4">
        <v>-18000000</v>
      </c>
      <c r="E17" s="4">
        <v>-18000000</v>
      </c>
      <c r="F17" s="4">
        <v>-18000000</v>
      </c>
      <c r="G17" s="4">
        <v>-18000000</v>
      </c>
    </row>
    <row r="18" spans="1:10">
      <c r="A18" s="4" t="s">
        <v>85</v>
      </c>
      <c r="C18" s="4">
        <f>$B$25/10</f>
        <v>-14400000</v>
      </c>
      <c r="D18" s="4">
        <f>$B$25/10</f>
        <v>-14400000</v>
      </c>
      <c r="E18" s="4">
        <f>$B$25/10</f>
        <v>-14400000</v>
      </c>
      <c r="F18" s="4">
        <f>$B$25/10</f>
        <v>-14400000</v>
      </c>
      <c r="G18" s="4">
        <f>$B$25/10</f>
        <v>-14400000</v>
      </c>
    </row>
    <row r="19" spans="1:10">
      <c r="A19" s="4" t="s">
        <v>86</v>
      </c>
      <c r="G19" s="4">
        <f>B25-(SUM(C18:G18))</f>
        <v>-72000000</v>
      </c>
    </row>
    <row r="20" spans="1:10">
      <c r="A20" s="4" t="s">
        <v>87</v>
      </c>
      <c r="G20" s="4">
        <f>2*28000000</f>
        <v>56000000</v>
      </c>
    </row>
    <row r="21" spans="1:10">
      <c r="A21" s="16" t="s">
        <v>88</v>
      </c>
      <c r="B21" s="16"/>
      <c r="C21" s="16">
        <f>SUM(C16:C20)</f>
        <v>-96900000</v>
      </c>
      <c r="D21" s="16">
        <f>SUM(D16:D20)</f>
        <v>-96900000</v>
      </c>
      <c r="E21" s="16">
        <f>SUM(E16:E20)</f>
        <v>-96900000</v>
      </c>
      <c r="F21" s="16">
        <f>SUM(F16:F20)</f>
        <v>-96900000</v>
      </c>
      <c r="G21" s="16">
        <f>SUM(G16:G20)</f>
        <v>-112900000</v>
      </c>
    </row>
    <row r="22" spans="1:10">
      <c r="A22" s="4" t="s">
        <v>89</v>
      </c>
      <c r="C22" s="4">
        <f>C21*0.35</f>
        <v>-33915000</v>
      </c>
      <c r="D22" s="4">
        <f>D21*0.35</f>
        <v>-33915000</v>
      </c>
      <c r="E22" s="4">
        <f>E21*0.35</f>
        <v>-33915000</v>
      </c>
      <c r="F22" s="4">
        <f>F21*0.35</f>
        <v>-33915000</v>
      </c>
      <c r="G22" s="4">
        <f>G21*0.35</f>
        <v>-39515000</v>
      </c>
    </row>
    <row r="23" spans="1:10">
      <c r="A23" s="16" t="s">
        <v>90</v>
      </c>
      <c r="B23" s="16"/>
      <c r="C23" s="16">
        <f>C21-C22</f>
        <v>-62985000</v>
      </c>
      <c r="D23" s="16">
        <f>D21-D22</f>
        <v>-62985000</v>
      </c>
      <c r="E23" s="16">
        <f>E21-E22</f>
        <v>-62985000</v>
      </c>
      <c r="F23" s="16">
        <f>F21-F22</f>
        <v>-62985000</v>
      </c>
      <c r="G23" s="16">
        <f>G21-G22</f>
        <v>-73385000</v>
      </c>
    </row>
    <row r="24" spans="1:10">
      <c r="A24" s="4" t="s">
        <v>77</v>
      </c>
      <c r="C24" s="4">
        <f>-C18</f>
        <v>14400000</v>
      </c>
      <c r="D24" s="4">
        <f>-D18</f>
        <v>14400000</v>
      </c>
      <c r="E24" s="4">
        <f>-E18</f>
        <v>14400000</v>
      </c>
      <c r="F24" s="4">
        <f>-F18</f>
        <v>14400000</v>
      </c>
      <c r="G24" s="4">
        <f>-G18-G19</f>
        <v>86400000</v>
      </c>
    </row>
    <row r="25" spans="1:10">
      <c r="A25" s="4" t="s">
        <v>59</v>
      </c>
      <c r="B25" s="4">
        <f>-72000000*2</f>
        <v>-144000000</v>
      </c>
      <c r="H25" s="4" t="s">
        <v>91</v>
      </c>
    </row>
    <row r="26" spans="1:10">
      <c r="B26" s="4">
        <f t="shared" ref="B26:G26" si="1">SUM(B23:B25)</f>
        <v>-144000000</v>
      </c>
      <c r="C26" s="4">
        <f t="shared" si="1"/>
        <v>-48585000</v>
      </c>
      <c r="D26" s="4">
        <f t="shared" si="1"/>
        <v>-48585000</v>
      </c>
      <c r="E26" s="4">
        <f t="shared" si="1"/>
        <v>-48585000</v>
      </c>
      <c r="F26" s="4">
        <f t="shared" si="1"/>
        <v>-48585000</v>
      </c>
      <c r="G26" s="4">
        <f t="shared" si="1"/>
        <v>13015000</v>
      </c>
      <c r="H26" s="6">
        <f t="array" ref="H26">NPV(0.12,C26:G26)+B26</f>
        <v>-284184557.47866631</v>
      </c>
      <c r="I26" s="4" t="b">
        <f>H26&gt;H13</f>
        <v>0</v>
      </c>
      <c r="J26" s="5">
        <f>H26-H13</f>
        <v>-58990099.71053496</v>
      </c>
    </row>
    <row r="27" spans="1:10">
      <c r="A27" s="4" t="s">
        <v>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election activeCell="D2" sqref="D2"/>
    </sheetView>
  </sheetViews>
  <sheetFormatPr defaultColWidth="14.42578125" defaultRowHeight="15.75" customHeight="1"/>
  <cols>
    <col min="2" max="3" width="32.42578125" customWidth="1"/>
  </cols>
  <sheetData>
    <row r="1" spans="1:26">
      <c r="A1" s="1" t="s">
        <v>0</v>
      </c>
      <c r="B1" s="2" t="s">
        <v>1</v>
      </c>
      <c r="C1" s="2" t="s">
        <v>2</v>
      </c>
      <c r="D1" s="1" t="s">
        <v>3</v>
      </c>
      <c r="E1" s="2"/>
      <c r="F1" s="2"/>
      <c r="G1" s="2"/>
      <c r="H1" s="2"/>
      <c r="I1" s="2"/>
      <c r="J1" s="2"/>
      <c r="K1" s="2"/>
      <c r="L1" s="2"/>
      <c r="M1" s="2"/>
      <c r="N1" s="2"/>
      <c r="O1" s="2"/>
      <c r="P1" s="2"/>
      <c r="Q1" s="2"/>
      <c r="R1" s="2"/>
      <c r="S1" s="2"/>
      <c r="T1" s="2"/>
      <c r="U1" s="2"/>
      <c r="V1" s="2"/>
      <c r="W1" s="2"/>
      <c r="X1" s="2"/>
      <c r="Y1" s="2"/>
      <c r="Z1" s="2"/>
    </row>
    <row r="2" spans="1:26">
      <c r="A2" s="1">
        <v>0.12</v>
      </c>
      <c r="B2" s="2">
        <v>6</v>
      </c>
      <c r="C2" s="2">
        <v>6</v>
      </c>
      <c r="D2" s="1">
        <f>((1+(A2/B2))^C2)-1</f>
        <v>0.12616241926400007</v>
      </c>
      <c r="E2" s="2" t="s">
        <v>6</v>
      </c>
      <c r="F2" s="256">
        <f>((1+A2/C2)^C2)-1</f>
        <v>0.12616241926400007</v>
      </c>
    </row>
    <row r="3" spans="1:26">
      <c r="A3" s="3">
        <v>0.12</v>
      </c>
      <c r="B3" s="4">
        <v>1</v>
      </c>
      <c r="C3" s="4">
        <v>1</v>
      </c>
      <c r="D3" s="3">
        <f>((1+(A3/B3))^C3)-1</f>
        <v>0.12000000000000011</v>
      </c>
      <c r="E3" s="4" t="s">
        <v>7</v>
      </c>
    </row>
    <row r="4" spans="1:26">
      <c r="A4" s="3">
        <v>0.12</v>
      </c>
      <c r="B4" s="4">
        <v>4</v>
      </c>
      <c r="C4" s="4">
        <v>4</v>
      </c>
      <c r="D4" s="3">
        <f>((1+(A4/B4))^C4)-1</f>
        <v>0.12550880999999992</v>
      </c>
      <c r="E4" s="4" t="s">
        <v>8</v>
      </c>
    </row>
    <row r="5" spans="1:26">
      <c r="A5" s="3">
        <v>0.12</v>
      </c>
      <c r="B5" s="4">
        <v>12</v>
      </c>
      <c r="C5" s="4">
        <v>12</v>
      </c>
      <c r="D5" s="3">
        <f>((1+(A5/B5))^C5)-1</f>
        <v>0.12682503013196977</v>
      </c>
      <c r="E5" s="4" t="s">
        <v>9</v>
      </c>
    </row>
    <row r="6" spans="1:26">
      <c r="A6" s="3">
        <v>0.12</v>
      </c>
      <c r="B6" s="4">
        <v>2</v>
      </c>
      <c r="C6" s="4">
        <v>2</v>
      </c>
      <c r="D6" s="3">
        <f>((1+(A6/B6))^C6)-1</f>
        <v>0.12360000000000015</v>
      </c>
      <c r="E6" s="4" t="s">
        <v>9</v>
      </c>
    </row>
    <row r="7" spans="1:26">
      <c r="A7" s="3"/>
      <c r="D7" s="3"/>
    </row>
    <row r="8" spans="1:26">
      <c r="A8" s="3"/>
      <c r="D8" s="3"/>
    </row>
    <row r="9" spans="1:26">
      <c r="A9" s="3"/>
      <c r="D9" s="3"/>
    </row>
    <row r="10" spans="1:26">
      <c r="A10" s="3"/>
      <c r="D10" s="3"/>
    </row>
    <row r="11" spans="1:26">
      <c r="A11" s="3"/>
      <c r="D11" s="3"/>
    </row>
    <row r="12" spans="1:26">
      <c r="A12" s="3"/>
      <c r="D12" s="3"/>
    </row>
    <row r="13" spans="1:26">
      <c r="A13" s="3"/>
      <c r="D13" s="3"/>
    </row>
    <row r="14" spans="1:26">
      <c r="A14" s="3"/>
      <c r="D14" s="3"/>
    </row>
    <row r="15" spans="1:26">
      <c r="A15" s="3"/>
      <c r="D15" s="3"/>
    </row>
    <row r="16" spans="1:26">
      <c r="A16" s="3"/>
      <c r="D16" s="3"/>
    </row>
    <row r="17" spans="1:4">
      <c r="A17" s="3"/>
      <c r="D17" s="3"/>
    </row>
    <row r="18" spans="1:4">
      <c r="A18" s="3"/>
      <c r="D18" s="3"/>
    </row>
    <row r="19" spans="1:4">
      <c r="A19" s="3"/>
      <c r="D19" s="3"/>
    </row>
    <row r="20" spans="1:4">
      <c r="A20" s="3"/>
      <c r="D20" s="3"/>
    </row>
    <row r="21" spans="1:4">
      <c r="A21" s="3"/>
      <c r="D21" s="3"/>
    </row>
    <row r="22" spans="1:4">
      <c r="A22" s="3"/>
      <c r="D22" s="3"/>
    </row>
    <row r="23" spans="1:4">
      <c r="A23" s="3"/>
      <c r="D23" s="3"/>
    </row>
    <row r="24" spans="1:4">
      <c r="A24" s="3"/>
      <c r="D24" s="3"/>
    </row>
    <row r="25" spans="1:4">
      <c r="A25" s="3"/>
      <c r="D25" s="3"/>
    </row>
    <row r="26" spans="1:4">
      <c r="A26" s="3"/>
      <c r="D26" s="3"/>
    </row>
    <row r="27" spans="1:4">
      <c r="A27" s="3"/>
      <c r="D27" s="3"/>
    </row>
    <row r="28" spans="1:4">
      <c r="A28" s="3"/>
      <c r="D28" s="3"/>
    </row>
    <row r="29" spans="1:4">
      <c r="A29" s="3"/>
      <c r="D29" s="3"/>
    </row>
    <row r="30" spans="1:4">
      <c r="A30" s="3"/>
      <c r="D30" s="3"/>
    </row>
    <row r="31" spans="1:4">
      <c r="A31" s="3"/>
      <c r="D31" s="3"/>
    </row>
    <row r="32" spans="1:4">
      <c r="A32" s="3"/>
      <c r="D32" s="3"/>
    </row>
    <row r="33" spans="1:4">
      <c r="A33" s="3"/>
      <c r="D33" s="3"/>
    </row>
    <row r="34" spans="1:4">
      <c r="A34" s="3"/>
      <c r="D34" s="3"/>
    </row>
    <row r="35" spans="1:4">
      <c r="A35" s="3"/>
      <c r="D35" s="3"/>
    </row>
    <row r="36" spans="1:4">
      <c r="A36" s="3"/>
      <c r="D36" s="3"/>
    </row>
    <row r="37" spans="1:4">
      <c r="A37" s="3"/>
      <c r="D37" s="3"/>
    </row>
    <row r="38" spans="1:4">
      <c r="A38" s="3"/>
      <c r="D38" s="3"/>
    </row>
    <row r="39" spans="1:4">
      <c r="A39" s="3"/>
      <c r="D39" s="3"/>
    </row>
    <row r="40" spans="1:4">
      <c r="A40" s="3"/>
      <c r="D40" s="3"/>
    </row>
    <row r="41" spans="1:4">
      <c r="A41" s="3"/>
      <c r="D41" s="3"/>
    </row>
    <row r="42" spans="1:4">
      <c r="A42" s="3"/>
      <c r="D42" s="3"/>
    </row>
    <row r="43" spans="1:4">
      <c r="A43" s="3"/>
      <c r="D43" s="3"/>
    </row>
    <row r="44" spans="1:4">
      <c r="A44" s="3"/>
      <c r="D44" s="3"/>
    </row>
    <row r="45" spans="1:4">
      <c r="A45" s="3"/>
      <c r="D45" s="3"/>
    </row>
    <row r="46" spans="1:4">
      <c r="A46" s="3"/>
      <c r="D46" s="3"/>
    </row>
    <row r="47" spans="1:4">
      <c r="A47" s="3"/>
      <c r="D47" s="3"/>
    </row>
    <row r="48" spans="1:4">
      <c r="A48" s="3"/>
      <c r="D48" s="3"/>
    </row>
    <row r="49" spans="1:4">
      <c r="A49" s="3"/>
      <c r="D49" s="3"/>
    </row>
    <row r="50" spans="1:4">
      <c r="A50" s="3"/>
      <c r="D50" s="3"/>
    </row>
    <row r="51" spans="1:4">
      <c r="A51" s="3"/>
      <c r="D51" s="3"/>
    </row>
    <row r="52" spans="1:4">
      <c r="A52" s="3"/>
      <c r="D52" s="3"/>
    </row>
    <row r="53" spans="1:4">
      <c r="A53" s="3"/>
      <c r="D53" s="3"/>
    </row>
    <row r="54" spans="1:4">
      <c r="A54" s="3"/>
      <c r="D54" s="3"/>
    </row>
    <row r="55" spans="1:4">
      <c r="A55" s="3"/>
      <c r="D55" s="3"/>
    </row>
    <row r="56" spans="1:4">
      <c r="A56" s="3"/>
      <c r="D56" s="3"/>
    </row>
    <row r="57" spans="1:4">
      <c r="A57" s="3"/>
      <c r="D57" s="3"/>
    </row>
    <row r="58" spans="1:4">
      <c r="A58" s="3"/>
      <c r="D58" s="3"/>
    </row>
    <row r="59" spans="1:4">
      <c r="A59" s="3"/>
      <c r="D59" s="3"/>
    </row>
    <row r="60" spans="1:4">
      <c r="A60" s="3"/>
      <c r="D60" s="3"/>
    </row>
    <row r="61" spans="1:4">
      <c r="A61" s="3"/>
      <c r="D61" s="3"/>
    </row>
    <row r="62" spans="1:4">
      <c r="A62" s="3"/>
      <c r="D62" s="3"/>
    </row>
    <row r="63" spans="1:4">
      <c r="A63" s="3"/>
      <c r="D63" s="3"/>
    </row>
    <row r="64" spans="1:4">
      <c r="A64" s="3"/>
      <c r="D64" s="3"/>
    </row>
    <row r="65" spans="1:4">
      <c r="A65" s="3"/>
      <c r="D65" s="3"/>
    </row>
    <row r="66" spans="1:4">
      <c r="A66" s="3"/>
      <c r="D66" s="3"/>
    </row>
    <row r="67" spans="1:4">
      <c r="A67" s="3"/>
      <c r="D67" s="3"/>
    </row>
    <row r="68" spans="1:4">
      <c r="A68" s="3"/>
      <c r="D68" s="3"/>
    </row>
    <row r="69" spans="1:4">
      <c r="A69" s="3"/>
      <c r="D69" s="3"/>
    </row>
    <row r="70" spans="1:4">
      <c r="A70" s="3"/>
      <c r="D70" s="3"/>
    </row>
    <row r="71" spans="1:4">
      <c r="A71" s="3"/>
      <c r="D71" s="3"/>
    </row>
    <row r="72" spans="1:4">
      <c r="A72" s="3"/>
      <c r="D72" s="3"/>
    </row>
    <row r="73" spans="1:4">
      <c r="A73" s="3"/>
      <c r="D73" s="3"/>
    </row>
    <row r="74" spans="1:4">
      <c r="A74" s="3"/>
      <c r="D74" s="3"/>
    </row>
    <row r="75" spans="1:4">
      <c r="A75" s="3"/>
      <c r="D75" s="3"/>
    </row>
    <row r="76" spans="1:4">
      <c r="A76" s="3"/>
      <c r="D76" s="3"/>
    </row>
    <row r="77" spans="1:4">
      <c r="A77" s="3"/>
      <c r="D77" s="3"/>
    </row>
    <row r="78" spans="1:4">
      <c r="A78" s="3"/>
      <c r="D78" s="3"/>
    </row>
    <row r="79" spans="1:4">
      <c r="A79" s="3"/>
      <c r="D79" s="3"/>
    </row>
    <row r="80" spans="1:4">
      <c r="A80" s="3"/>
      <c r="D80" s="3"/>
    </row>
    <row r="81" spans="1:4">
      <c r="A81" s="3"/>
      <c r="D81" s="3"/>
    </row>
    <row r="82" spans="1:4">
      <c r="A82" s="3"/>
      <c r="D82" s="3"/>
    </row>
    <row r="83" spans="1:4">
      <c r="A83" s="3"/>
      <c r="D83" s="3"/>
    </row>
    <row r="84" spans="1:4">
      <c r="A84" s="3"/>
      <c r="D84" s="3"/>
    </row>
    <row r="85" spans="1:4">
      <c r="A85" s="3"/>
      <c r="D85" s="3"/>
    </row>
    <row r="86" spans="1:4">
      <c r="A86" s="3"/>
      <c r="D86" s="3"/>
    </row>
    <row r="87" spans="1:4">
      <c r="A87" s="3"/>
      <c r="D87" s="3"/>
    </row>
    <row r="88" spans="1:4">
      <c r="A88" s="3"/>
      <c r="D88" s="3"/>
    </row>
    <row r="89" spans="1:4">
      <c r="A89" s="3"/>
      <c r="D89" s="3"/>
    </row>
    <row r="90" spans="1:4">
      <c r="A90" s="3"/>
      <c r="D90" s="3"/>
    </row>
    <row r="91" spans="1:4">
      <c r="A91" s="3"/>
      <c r="D91" s="3"/>
    </row>
    <row r="92" spans="1:4">
      <c r="A92" s="3"/>
      <c r="D92" s="3"/>
    </row>
    <row r="93" spans="1:4">
      <c r="A93" s="3"/>
      <c r="D93" s="3"/>
    </row>
    <row r="94" spans="1:4">
      <c r="A94" s="3"/>
      <c r="D94" s="3"/>
    </row>
    <row r="95" spans="1:4">
      <c r="A95" s="3"/>
      <c r="D95" s="3"/>
    </row>
    <row r="96" spans="1:4">
      <c r="A96" s="3"/>
      <c r="D96" s="3"/>
    </row>
    <row r="97" spans="1:4">
      <c r="A97" s="3"/>
      <c r="D97" s="3"/>
    </row>
    <row r="98" spans="1:4">
      <c r="A98" s="3"/>
      <c r="D98" s="3"/>
    </row>
    <row r="99" spans="1:4">
      <c r="A99" s="3"/>
      <c r="D99" s="3"/>
    </row>
    <row r="100" spans="1:4">
      <c r="A100" s="3"/>
      <c r="D100" s="3"/>
    </row>
    <row r="101" spans="1:4">
      <c r="A101" s="3"/>
      <c r="D101" s="3"/>
    </row>
    <row r="102" spans="1:4">
      <c r="A102" s="3"/>
      <c r="D102" s="3"/>
    </row>
    <row r="103" spans="1:4">
      <c r="A103" s="3"/>
      <c r="D103" s="3"/>
    </row>
    <row r="104" spans="1:4">
      <c r="A104" s="3"/>
      <c r="D104" s="3"/>
    </row>
    <row r="105" spans="1:4">
      <c r="A105" s="3"/>
      <c r="D105" s="3"/>
    </row>
    <row r="106" spans="1:4">
      <c r="A106" s="3"/>
      <c r="D106" s="3"/>
    </row>
    <row r="107" spans="1:4">
      <c r="A107" s="3"/>
      <c r="D107" s="3"/>
    </row>
    <row r="108" spans="1:4">
      <c r="A108" s="3"/>
      <c r="D108" s="3"/>
    </row>
    <row r="109" spans="1:4">
      <c r="A109" s="3"/>
      <c r="D109" s="3"/>
    </row>
    <row r="110" spans="1:4">
      <c r="A110" s="3"/>
      <c r="D110" s="3"/>
    </row>
    <row r="111" spans="1:4">
      <c r="A111" s="3"/>
      <c r="D111" s="3"/>
    </row>
    <row r="112" spans="1:4">
      <c r="A112" s="3"/>
      <c r="D112" s="3"/>
    </row>
    <row r="113" spans="1:4">
      <c r="A113" s="3"/>
      <c r="D113" s="3"/>
    </row>
    <row r="114" spans="1:4">
      <c r="A114" s="3"/>
      <c r="D114" s="3"/>
    </row>
    <row r="115" spans="1:4">
      <c r="A115" s="3"/>
      <c r="D115" s="3"/>
    </row>
    <row r="116" spans="1:4">
      <c r="A116" s="3"/>
      <c r="D116" s="3"/>
    </row>
    <row r="117" spans="1:4">
      <c r="A117" s="3"/>
      <c r="D117" s="3"/>
    </row>
    <row r="118" spans="1:4">
      <c r="A118" s="3"/>
      <c r="D118" s="3"/>
    </row>
    <row r="119" spans="1:4">
      <c r="A119" s="3"/>
      <c r="D119" s="3"/>
    </row>
    <row r="120" spans="1:4">
      <c r="A120" s="3"/>
      <c r="D120" s="3"/>
    </row>
    <row r="121" spans="1:4">
      <c r="A121" s="3"/>
      <c r="D121" s="3"/>
    </row>
    <row r="122" spans="1:4">
      <c r="A122" s="3"/>
      <c r="D122" s="3"/>
    </row>
    <row r="123" spans="1:4">
      <c r="A123" s="3"/>
      <c r="D123" s="3"/>
    </row>
    <row r="124" spans="1:4">
      <c r="A124" s="3"/>
      <c r="D124" s="3"/>
    </row>
    <row r="125" spans="1:4">
      <c r="A125" s="3"/>
      <c r="D125" s="3"/>
    </row>
    <row r="126" spans="1:4">
      <c r="A126" s="3"/>
      <c r="D126" s="3"/>
    </row>
    <row r="127" spans="1:4">
      <c r="A127" s="3"/>
      <c r="D127" s="3"/>
    </row>
    <row r="128" spans="1:4">
      <c r="A128" s="3"/>
      <c r="D128" s="3"/>
    </row>
    <row r="129" spans="1:4">
      <c r="A129" s="3"/>
      <c r="D129" s="3"/>
    </row>
    <row r="130" spans="1:4">
      <c r="A130" s="3"/>
      <c r="D130" s="3"/>
    </row>
    <row r="131" spans="1:4">
      <c r="A131" s="3"/>
      <c r="D131" s="3"/>
    </row>
    <row r="132" spans="1:4">
      <c r="A132" s="3"/>
      <c r="D132" s="3"/>
    </row>
    <row r="133" spans="1:4">
      <c r="A133" s="3"/>
      <c r="D133" s="3"/>
    </row>
    <row r="134" spans="1:4">
      <c r="A134" s="3"/>
      <c r="D134" s="3"/>
    </row>
    <row r="135" spans="1:4">
      <c r="A135" s="3"/>
      <c r="D135" s="3"/>
    </row>
    <row r="136" spans="1:4">
      <c r="A136" s="3"/>
      <c r="D136" s="3"/>
    </row>
    <row r="137" spans="1:4">
      <c r="A137" s="3"/>
      <c r="D137" s="3"/>
    </row>
    <row r="138" spans="1:4">
      <c r="A138" s="3"/>
      <c r="D138" s="3"/>
    </row>
    <row r="139" spans="1:4">
      <c r="A139" s="3"/>
      <c r="D139" s="3"/>
    </row>
    <row r="140" spans="1:4">
      <c r="A140" s="3"/>
      <c r="D140" s="3"/>
    </row>
    <row r="141" spans="1:4">
      <c r="A141" s="3"/>
      <c r="D141" s="3"/>
    </row>
    <row r="142" spans="1:4">
      <c r="A142" s="3"/>
      <c r="D142" s="3"/>
    </row>
    <row r="143" spans="1:4">
      <c r="A143" s="3"/>
      <c r="D143" s="3"/>
    </row>
    <row r="144" spans="1:4">
      <c r="A144" s="3"/>
      <c r="D144" s="3"/>
    </row>
    <row r="145" spans="1:4">
      <c r="A145" s="3"/>
      <c r="D145" s="3"/>
    </row>
    <row r="146" spans="1:4">
      <c r="A146" s="3"/>
      <c r="D146" s="3"/>
    </row>
    <row r="147" spans="1:4">
      <c r="A147" s="3"/>
      <c r="D147" s="3"/>
    </row>
    <row r="148" spans="1:4">
      <c r="A148" s="3"/>
      <c r="D148" s="3"/>
    </row>
    <row r="149" spans="1:4">
      <c r="A149" s="3"/>
      <c r="D149" s="3"/>
    </row>
    <row r="150" spans="1:4">
      <c r="A150" s="3"/>
      <c r="D150" s="3"/>
    </row>
    <row r="151" spans="1:4">
      <c r="A151" s="3"/>
      <c r="D151" s="3"/>
    </row>
    <row r="152" spans="1:4">
      <c r="A152" s="3"/>
      <c r="D152" s="3"/>
    </row>
    <row r="153" spans="1:4">
      <c r="A153" s="3"/>
      <c r="D153" s="3"/>
    </row>
    <row r="154" spans="1:4">
      <c r="A154" s="3"/>
      <c r="D154" s="3"/>
    </row>
    <row r="155" spans="1:4">
      <c r="A155" s="3"/>
      <c r="D155" s="3"/>
    </row>
    <row r="156" spans="1:4">
      <c r="A156" s="3"/>
      <c r="D156" s="3"/>
    </row>
    <row r="157" spans="1:4">
      <c r="A157" s="3"/>
      <c r="D157" s="3"/>
    </row>
    <row r="158" spans="1:4">
      <c r="A158" s="3"/>
      <c r="D158" s="3"/>
    </row>
    <row r="159" spans="1:4">
      <c r="A159" s="3"/>
      <c r="D159" s="3"/>
    </row>
    <row r="160" spans="1:4">
      <c r="A160" s="3"/>
      <c r="D160" s="3"/>
    </row>
    <row r="161" spans="1:4">
      <c r="A161" s="3"/>
      <c r="D161" s="3"/>
    </row>
    <row r="162" spans="1:4">
      <c r="A162" s="3"/>
      <c r="D162" s="3"/>
    </row>
    <row r="163" spans="1:4">
      <c r="A163" s="3"/>
      <c r="D163" s="3"/>
    </row>
    <row r="164" spans="1:4">
      <c r="A164" s="3"/>
      <c r="D164" s="3"/>
    </row>
    <row r="165" spans="1:4">
      <c r="A165" s="3"/>
      <c r="D165" s="3"/>
    </row>
    <row r="166" spans="1:4">
      <c r="A166" s="3"/>
      <c r="D166" s="3"/>
    </row>
    <row r="167" spans="1:4">
      <c r="A167" s="3"/>
      <c r="D167" s="3"/>
    </row>
    <row r="168" spans="1:4">
      <c r="A168" s="3"/>
      <c r="D168" s="3"/>
    </row>
    <row r="169" spans="1:4">
      <c r="A169" s="3"/>
      <c r="D169" s="3"/>
    </row>
    <row r="170" spans="1:4">
      <c r="A170" s="3"/>
      <c r="D170" s="3"/>
    </row>
    <row r="171" spans="1:4">
      <c r="A171" s="3"/>
      <c r="D171" s="3"/>
    </row>
    <row r="172" spans="1:4">
      <c r="A172" s="3"/>
      <c r="D172" s="3"/>
    </row>
    <row r="173" spans="1:4">
      <c r="A173" s="3"/>
      <c r="D173" s="3"/>
    </row>
    <row r="174" spans="1:4">
      <c r="A174" s="3"/>
      <c r="D174" s="3"/>
    </row>
    <row r="175" spans="1:4">
      <c r="A175" s="3"/>
      <c r="D175" s="3"/>
    </row>
    <row r="176" spans="1:4">
      <c r="A176" s="3"/>
      <c r="D176" s="3"/>
    </row>
    <row r="177" spans="1:4">
      <c r="A177" s="3"/>
      <c r="D177" s="3"/>
    </row>
    <row r="178" spans="1:4">
      <c r="A178" s="3"/>
      <c r="D178" s="3"/>
    </row>
    <row r="179" spans="1:4">
      <c r="A179" s="3"/>
      <c r="D179" s="3"/>
    </row>
    <row r="180" spans="1:4">
      <c r="A180" s="3"/>
      <c r="D180" s="3"/>
    </row>
    <row r="181" spans="1:4">
      <c r="A181" s="3"/>
      <c r="D181" s="3"/>
    </row>
    <row r="182" spans="1:4">
      <c r="A182" s="3"/>
      <c r="D182" s="3"/>
    </row>
    <row r="183" spans="1:4">
      <c r="A183" s="3"/>
      <c r="D183" s="3"/>
    </row>
    <row r="184" spans="1:4">
      <c r="A184" s="3"/>
      <c r="D184" s="3"/>
    </row>
    <row r="185" spans="1:4">
      <c r="A185" s="3"/>
      <c r="D185" s="3"/>
    </row>
    <row r="186" spans="1:4">
      <c r="A186" s="3"/>
      <c r="D186" s="3"/>
    </row>
    <row r="187" spans="1:4">
      <c r="A187" s="3"/>
      <c r="D187" s="3"/>
    </row>
    <row r="188" spans="1:4">
      <c r="A188" s="3"/>
      <c r="D188" s="3"/>
    </row>
    <row r="189" spans="1:4">
      <c r="A189" s="3"/>
      <c r="D189" s="3"/>
    </row>
    <row r="190" spans="1:4">
      <c r="A190" s="3"/>
      <c r="D190" s="3"/>
    </row>
    <row r="191" spans="1:4">
      <c r="A191" s="3"/>
      <c r="D191" s="3"/>
    </row>
    <row r="192" spans="1:4">
      <c r="A192" s="3"/>
      <c r="D192" s="3"/>
    </row>
    <row r="193" spans="1:4">
      <c r="A193" s="3"/>
      <c r="D193" s="3"/>
    </row>
    <row r="194" spans="1:4">
      <c r="A194" s="3"/>
      <c r="D194" s="3"/>
    </row>
    <row r="195" spans="1:4">
      <c r="A195" s="3"/>
      <c r="D195" s="3"/>
    </row>
    <row r="196" spans="1:4">
      <c r="A196" s="3"/>
      <c r="D196" s="3"/>
    </row>
    <row r="197" spans="1:4">
      <c r="A197" s="3"/>
      <c r="D197" s="3"/>
    </row>
    <row r="198" spans="1:4">
      <c r="A198" s="3"/>
      <c r="D198" s="3"/>
    </row>
    <row r="199" spans="1:4">
      <c r="A199" s="3"/>
      <c r="D199" s="3"/>
    </row>
    <row r="200" spans="1:4">
      <c r="A200" s="3"/>
      <c r="D200" s="3"/>
    </row>
    <row r="201" spans="1:4">
      <c r="A201" s="3"/>
      <c r="D201" s="3"/>
    </row>
    <row r="202" spans="1:4">
      <c r="A202" s="3"/>
      <c r="D202" s="3"/>
    </row>
    <row r="203" spans="1:4">
      <c r="A203" s="3"/>
      <c r="D203" s="3"/>
    </row>
    <row r="204" spans="1:4">
      <c r="A204" s="3"/>
      <c r="D204" s="3"/>
    </row>
    <row r="205" spans="1:4">
      <c r="A205" s="3"/>
      <c r="D205" s="3"/>
    </row>
    <row r="206" spans="1:4">
      <c r="A206" s="3"/>
      <c r="D206" s="3"/>
    </row>
    <row r="207" spans="1:4">
      <c r="A207" s="3"/>
      <c r="D207" s="3"/>
    </row>
    <row r="208" spans="1:4">
      <c r="A208" s="3"/>
      <c r="D208" s="3"/>
    </row>
    <row r="209" spans="1:4">
      <c r="A209" s="3"/>
      <c r="D209" s="3"/>
    </row>
    <row r="210" spans="1:4">
      <c r="A210" s="3"/>
      <c r="D210" s="3"/>
    </row>
    <row r="211" spans="1:4">
      <c r="A211" s="3"/>
      <c r="D211" s="3"/>
    </row>
    <row r="212" spans="1:4">
      <c r="A212" s="3"/>
      <c r="D212" s="3"/>
    </row>
    <row r="213" spans="1:4">
      <c r="A213" s="3"/>
      <c r="D213" s="3"/>
    </row>
    <row r="214" spans="1:4">
      <c r="A214" s="3"/>
      <c r="D214" s="3"/>
    </row>
    <row r="215" spans="1:4">
      <c r="A215" s="3"/>
      <c r="D215" s="3"/>
    </row>
    <row r="216" spans="1:4">
      <c r="A216" s="3"/>
      <c r="D216" s="3"/>
    </row>
    <row r="217" spans="1:4">
      <c r="A217" s="3"/>
      <c r="D217" s="3"/>
    </row>
    <row r="218" spans="1:4">
      <c r="A218" s="3"/>
      <c r="D218" s="3"/>
    </row>
    <row r="219" spans="1:4">
      <c r="A219" s="3"/>
      <c r="D219" s="3"/>
    </row>
    <row r="220" spans="1:4">
      <c r="A220" s="3"/>
      <c r="D220" s="3"/>
    </row>
    <row r="221" spans="1:4">
      <c r="A221" s="3"/>
      <c r="D221" s="3"/>
    </row>
    <row r="222" spans="1:4">
      <c r="A222" s="3"/>
      <c r="D222" s="3"/>
    </row>
    <row r="223" spans="1:4">
      <c r="A223" s="3"/>
      <c r="D223" s="3"/>
    </row>
    <row r="224" spans="1:4">
      <c r="A224" s="3"/>
      <c r="D224" s="3"/>
    </row>
    <row r="225" spans="1:4">
      <c r="A225" s="3"/>
      <c r="D225" s="3"/>
    </row>
    <row r="226" spans="1:4">
      <c r="A226" s="3"/>
      <c r="D226" s="3"/>
    </row>
    <row r="227" spans="1:4">
      <c r="A227" s="3"/>
      <c r="D227" s="3"/>
    </row>
    <row r="228" spans="1:4">
      <c r="A228" s="3"/>
      <c r="D228" s="3"/>
    </row>
    <row r="229" spans="1:4">
      <c r="A229" s="3"/>
      <c r="D229" s="3"/>
    </row>
    <row r="230" spans="1:4">
      <c r="A230" s="3"/>
      <c r="D230" s="3"/>
    </row>
    <row r="231" spans="1:4">
      <c r="A231" s="3"/>
      <c r="D231" s="3"/>
    </row>
    <row r="232" spans="1:4">
      <c r="A232" s="3"/>
      <c r="D232" s="3"/>
    </row>
    <row r="233" spans="1:4">
      <c r="A233" s="3"/>
      <c r="D233" s="3"/>
    </row>
    <row r="234" spans="1:4">
      <c r="A234" s="3"/>
      <c r="D234" s="3"/>
    </row>
    <row r="235" spans="1:4">
      <c r="A235" s="3"/>
      <c r="D235" s="3"/>
    </row>
    <row r="236" spans="1:4">
      <c r="A236" s="3"/>
      <c r="D236" s="3"/>
    </row>
    <row r="237" spans="1:4">
      <c r="A237" s="3"/>
      <c r="D237" s="3"/>
    </row>
    <row r="238" spans="1:4">
      <c r="A238" s="3"/>
      <c r="D238" s="3"/>
    </row>
    <row r="239" spans="1:4">
      <c r="A239" s="3"/>
      <c r="D239" s="3"/>
    </row>
    <row r="240" spans="1:4">
      <c r="A240" s="3"/>
      <c r="D240" s="3"/>
    </row>
    <row r="241" spans="1:4">
      <c r="A241" s="3"/>
      <c r="D241" s="3"/>
    </row>
    <row r="242" spans="1:4">
      <c r="A242" s="3"/>
      <c r="D242" s="3"/>
    </row>
    <row r="243" spans="1:4">
      <c r="A243" s="3"/>
      <c r="D243" s="3"/>
    </row>
    <row r="244" spans="1:4">
      <c r="A244" s="3"/>
      <c r="D244" s="3"/>
    </row>
    <row r="245" spans="1:4">
      <c r="A245" s="3"/>
      <c r="D245" s="3"/>
    </row>
    <row r="246" spans="1:4">
      <c r="A246" s="3"/>
      <c r="D246" s="3"/>
    </row>
    <row r="247" spans="1:4">
      <c r="A247" s="3"/>
      <c r="D247" s="3"/>
    </row>
    <row r="248" spans="1:4">
      <c r="A248" s="3"/>
      <c r="D248" s="3"/>
    </row>
    <row r="249" spans="1:4">
      <c r="A249" s="3"/>
      <c r="D249" s="3"/>
    </row>
    <row r="250" spans="1:4">
      <c r="A250" s="3"/>
      <c r="D250" s="3"/>
    </row>
    <row r="251" spans="1:4">
      <c r="A251" s="3"/>
      <c r="D251" s="3"/>
    </row>
    <row r="252" spans="1:4">
      <c r="A252" s="3"/>
      <c r="D252" s="3"/>
    </row>
    <row r="253" spans="1:4">
      <c r="A253" s="3"/>
      <c r="D253" s="3"/>
    </row>
    <row r="254" spans="1:4">
      <c r="A254" s="3"/>
      <c r="D254" s="3"/>
    </row>
    <row r="255" spans="1:4">
      <c r="A255" s="3"/>
      <c r="D255" s="3"/>
    </row>
    <row r="256" spans="1:4">
      <c r="A256" s="3"/>
      <c r="D256" s="3"/>
    </row>
    <row r="257" spans="1:4">
      <c r="A257" s="3"/>
      <c r="D257" s="3"/>
    </row>
    <row r="258" spans="1:4">
      <c r="A258" s="3"/>
      <c r="D258" s="3"/>
    </row>
    <row r="259" spans="1:4">
      <c r="A259" s="3"/>
      <c r="D259" s="3"/>
    </row>
    <row r="260" spans="1:4">
      <c r="A260" s="3"/>
      <c r="D260" s="3"/>
    </row>
    <row r="261" spans="1:4">
      <c r="A261" s="3"/>
      <c r="D261" s="3"/>
    </row>
    <row r="262" spans="1:4">
      <c r="A262" s="3"/>
      <c r="D262" s="3"/>
    </row>
    <row r="263" spans="1:4">
      <c r="A263" s="3"/>
      <c r="D263" s="3"/>
    </row>
    <row r="264" spans="1:4">
      <c r="A264" s="3"/>
      <c r="D264" s="3"/>
    </row>
    <row r="265" spans="1:4">
      <c r="A265" s="3"/>
      <c r="D265" s="3"/>
    </row>
    <row r="266" spans="1:4">
      <c r="A266" s="3"/>
      <c r="D266" s="3"/>
    </row>
    <row r="267" spans="1:4">
      <c r="A267" s="3"/>
      <c r="D267" s="3"/>
    </row>
    <row r="268" spans="1:4">
      <c r="A268" s="3"/>
      <c r="D268" s="3"/>
    </row>
    <row r="269" spans="1:4">
      <c r="A269" s="3"/>
      <c r="D269" s="3"/>
    </row>
    <row r="270" spans="1:4">
      <c r="A270" s="3"/>
      <c r="D270" s="3"/>
    </row>
    <row r="271" spans="1:4">
      <c r="A271" s="3"/>
      <c r="D271" s="3"/>
    </row>
    <row r="272" spans="1:4">
      <c r="A272" s="3"/>
      <c r="D272" s="3"/>
    </row>
    <row r="273" spans="1:4">
      <c r="A273" s="3"/>
      <c r="D273" s="3"/>
    </row>
    <row r="274" spans="1:4">
      <c r="A274" s="3"/>
      <c r="D274" s="3"/>
    </row>
    <row r="275" spans="1:4">
      <c r="A275" s="3"/>
      <c r="D275" s="3"/>
    </row>
    <row r="276" spans="1:4">
      <c r="A276" s="3"/>
      <c r="D276" s="3"/>
    </row>
    <row r="277" spans="1:4">
      <c r="A277" s="3"/>
      <c r="D277" s="3"/>
    </row>
    <row r="278" spans="1:4">
      <c r="A278" s="3"/>
      <c r="D278" s="3"/>
    </row>
    <row r="279" spans="1:4">
      <c r="A279" s="3"/>
      <c r="D279" s="3"/>
    </row>
    <row r="280" spans="1:4">
      <c r="A280" s="3"/>
      <c r="D280" s="3"/>
    </row>
    <row r="281" spans="1:4">
      <c r="A281" s="3"/>
      <c r="D281" s="3"/>
    </row>
    <row r="282" spans="1:4">
      <c r="A282" s="3"/>
      <c r="D282" s="3"/>
    </row>
    <row r="283" spans="1:4">
      <c r="A283" s="3"/>
      <c r="D283" s="3"/>
    </row>
    <row r="284" spans="1:4">
      <c r="A284" s="3"/>
      <c r="D284" s="3"/>
    </row>
    <row r="285" spans="1:4">
      <c r="A285" s="3"/>
      <c r="D285" s="3"/>
    </row>
    <row r="286" spans="1:4">
      <c r="A286" s="3"/>
      <c r="D286" s="3"/>
    </row>
    <row r="287" spans="1:4">
      <c r="A287" s="3"/>
      <c r="D287" s="3"/>
    </row>
    <row r="288" spans="1:4">
      <c r="A288" s="3"/>
      <c r="D288" s="3"/>
    </row>
    <row r="289" spans="1:4">
      <c r="A289" s="3"/>
      <c r="D289" s="3"/>
    </row>
    <row r="290" spans="1:4">
      <c r="A290" s="3"/>
      <c r="D290" s="3"/>
    </row>
    <row r="291" spans="1:4">
      <c r="A291" s="3"/>
      <c r="D291" s="3"/>
    </row>
    <row r="292" spans="1:4">
      <c r="A292" s="3"/>
      <c r="D292" s="3"/>
    </row>
    <row r="293" spans="1:4">
      <c r="A293" s="3"/>
      <c r="D293" s="3"/>
    </row>
    <row r="294" spans="1:4">
      <c r="A294" s="3"/>
      <c r="D294" s="3"/>
    </row>
    <row r="295" spans="1:4">
      <c r="A295" s="3"/>
      <c r="D295" s="3"/>
    </row>
    <row r="296" spans="1:4">
      <c r="A296" s="3"/>
      <c r="D296" s="3"/>
    </row>
    <row r="297" spans="1:4">
      <c r="A297" s="3"/>
      <c r="D297" s="3"/>
    </row>
    <row r="298" spans="1:4">
      <c r="A298" s="3"/>
      <c r="D298" s="3"/>
    </row>
    <row r="299" spans="1:4">
      <c r="A299" s="3"/>
      <c r="D299" s="3"/>
    </row>
    <row r="300" spans="1:4">
      <c r="A300" s="3"/>
      <c r="D300" s="3"/>
    </row>
    <row r="301" spans="1:4">
      <c r="A301" s="3"/>
      <c r="D301" s="3"/>
    </row>
    <row r="302" spans="1:4">
      <c r="A302" s="3"/>
      <c r="D302" s="3"/>
    </row>
    <row r="303" spans="1:4">
      <c r="A303" s="3"/>
      <c r="D303" s="3"/>
    </row>
    <row r="304" spans="1:4">
      <c r="A304" s="3"/>
      <c r="D304" s="3"/>
    </row>
    <row r="305" spans="1:4">
      <c r="A305" s="3"/>
      <c r="D305" s="3"/>
    </row>
    <row r="306" spans="1:4">
      <c r="A306" s="3"/>
      <c r="D306" s="3"/>
    </row>
    <row r="307" spans="1:4">
      <c r="A307" s="3"/>
      <c r="D307" s="3"/>
    </row>
    <row r="308" spans="1:4">
      <c r="A308" s="3"/>
      <c r="D308" s="3"/>
    </row>
    <row r="309" spans="1:4">
      <c r="A309" s="3"/>
      <c r="D309" s="3"/>
    </row>
    <row r="310" spans="1:4">
      <c r="A310" s="3"/>
      <c r="D310" s="3"/>
    </row>
    <row r="311" spans="1:4">
      <c r="A311" s="3"/>
      <c r="D311" s="3"/>
    </row>
    <row r="312" spans="1:4">
      <c r="A312" s="3"/>
      <c r="D312" s="3"/>
    </row>
    <row r="313" spans="1:4">
      <c r="A313" s="3"/>
      <c r="D313" s="3"/>
    </row>
    <row r="314" spans="1:4">
      <c r="A314" s="3"/>
      <c r="D314" s="3"/>
    </row>
    <row r="315" spans="1:4">
      <c r="A315" s="3"/>
      <c r="D315" s="3"/>
    </row>
    <row r="316" spans="1:4">
      <c r="A316" s="3"/>
      <c r="D316" s="3"/>
    </row>
    <row r="317" spans="1:4">
      <c r="A317" s="3"/>
      <c r="D317" s="3"/>
    </row>
    <row r="318" spans="1:4">
      <c r="A318" s="3"/>
      <c r="D318" s="3"/>
    </row>
    <row r="319" spans="1:4">
      <c r="A319" s="3"/>
      <c r="D319" s="3"/>
    </row>
    <row r="320" spans="1:4">
      <c r="A320" s="3"/>
      <c r="D320" s="3"/>
    </row>
    <row r="321" spans="1:4">
      <c r="A321" s="3"/>
      <c r="D321" s="3"/>
    </row>
    <row r="322" spans="1:4">
      <c r="A322" s="3"/>
      <c r="D322" s="3"/>
    </row>
    <row r="323" spans="1:4">
      <c r="A323" s="3"/>
      <c r="D323" s="3"/>
    </row>
    <row r="324" spans="1:4">
      <c r="A324" s="3"/>
      <c r="D324" s="3"/>
    </row>
    <row r="325" spans="1:4">
      <c r="A325" s="3"/>
      <c r="D325" s="3"/>
    </row>
    <row r="326" spans="1:4">
      <c r="A326" s="3"/>
      <c r="D326" s="3"/>
    </row>
    <row r="327" spans="1:4">
      <c r="A327" s="3"/>
      <c r="D327" s="3"/>
    </row>
    <row r="328" spans="1:4">
      <c r="A328" s="3"/>
      <c r="D328" s="3"/>
    </row>
    <row r="329" spans="1:4">
      <c r="A329" s="3"/>
      <c r="D329" s="3"/>
    </row>
    <row r="330" spans="1:4">
      <c r="A330" s="3"/>
      <c r="D330" s="3"/>
    </row>
    <row r="331" spans="1:4">
      <c r="A331" s="3"/>
      <c r="D331" s="3"/>
    </row>
    <row r="332" spans="1:4">
      <c r="A332" s="3"/>
      <c r="D332" s="3"/>
    </row>
    <row r="333" spans="1:4">
      <c r="A333" s="3"/>
      <c r="D333" s="3"/>
    </row>
    <row r="334" spans="1:4">
      <c r="A334" s="3"/>
      <c r="D334" s="3"/>
    </row>
    <row r="335" spans="1:4">
      <c r="A335" s="3"/>
      <c r="D335" s="3"/>
    </row>
    <row r="336" spans="1:4">
      <c r="A336" s="3"/>
      <c r="D336" s="3"/>
    </row>
    <row r="337" spans="1:4">
      <c r="A337" s="3"/>
      <c r="D337" s="3"/>
    </row>
    <row r="338" spans="1:4">
      <c r="A338" s="3"/>
      <c r="D338" s="3"/>
    </row>
    <row r="339" spans="1:4">
      <c r="A339" s="3"/>
      <c r="D339" s="3"/>
    </row>
    <row r="340" spans="1:4">
      <c r="A340" s="3"/>
      <c r="D340" s="3"/>
    </row>
    <row r="341" spans="1:4">
      <c r="A341" s="3"/>
      <c r="D341" s="3"/>
    </row>
    <row r="342" spans="1:4">
      <c r="A342" s="3"/>
      <c r="D342" s="3"/>
    </row>
    <row r="343" spans="1:4">
      <c r="A343" s="3"/>
      <c r="D343" s="3"/>
    </row>
    <row r="344" spans="1:4">
      <c r="A344" s="3"/>
      <c r="D344" s="3"/>
    </row>
    <row r="345" spans="1:4">
      <c r="A345" s="3"/>
      <c r="D345" s="3"/>
    </row>
    <row r="346" spans="1:4">
      <c r="A346" s="3"/>
      <c r="D346" s="3"/>
    </row>
    <row r="347" spans="1:4">
      <c r="A347" s="3"/>
      <c r="D347" s="3"/>
    </row>
    <row r="348" spans="1:4">
      <c r="A348" s="3"/>
      <c r="D348" s="3"/>
    </row>
    <row r="349" spans="1:4">
      <c r="A349" s="3"/>
      <c r="D349" s="3"/>
    </row>
    <row r="350" spans="1:4">
      <c r="A350" s="3"/>
      <c r="D350" s="3"/>
    </row>
    <row r="351" spans="1:4">
      <c r="A351" s="3"/>
      <c r="D351" s="3"/>
    </row>
    <row r="352" spans="1:4">
      <c r="A352" s="3"/>
      <c r="D352" s="3"/>
    </row>
    <row r="353" spans="1:4">
      <c r="A353" s="3"/>
      <c r="D353" s="3"/>
    </row>
    <row r="354" spans="1:4">
      <c r="A354" s="3"/>
      <c r="D354" s="3"/>
    </row>
    <row r="355" spans="1:4">
      <c r="A355" s="3"/>
      <c r="D355" s="3"/>
    </row>
    <row r="356" spans="1:4">
      <c r="A356" s="3"/>
      <c r="D356" s="3"/>
    </row>
    <row r="357" spans="1:4">
      <c r="A357" s="3"/>
      <c r="D357" s="3"/>
    </row>
    <row r="358" spans="1:4">
      <c r="A358" s="3"/>
      <c r="D358" s="3"/>
    </row>
    <row r="359" spans="1:4">
      <c r="A359" s="3"/>
      <c r="D359" s="3"/>
    </row>
    <row r="360" spans="1:4">
      <c r="A360" s="3"/>
      <c r="D360" s="3"/>
    </row>
    <row r="361" spans="1:4">
      <c r="A361" s="3"/>
      <c r="D361" s="3"/>
    </row>
    <row r="362" spans="1:4">
      <c r="A362" s="3"/>
      <c r="D362" s="3"/>
    </row>
    <row r="363" spans="1:4">
      <c r="A363" s="3"/>
      <c r="D363" s="3"/>
    </row>
    <row r="364" spans="1:4">
      <c r="A364" s="3"/>
      <c r="D364" s="3"/>
    </row>
    <row r="365" spans="1:4">
      <c r="A365" s="3"/>
      <c r="D365" s="3"/>
    </row>
    <row r="366" spans="1:4">
      <c r="A366" s="3"/>
      <c r="D366" s="3"/>
    </row>
    <row r="367" spans="1:4">
      <c r="A367" s="3"/>
      <c r="D367" s="3"/>
    </row>
    <row r="368" spans="1:4">
      <c r="A368" s="3"/>
      <c r="D368" s="3"/>
    </row>
    <row r="369" spans="1:4">
      <c r="A369" s="3"/>
      <c r="D369" s="3"/>
    </row>
    <row r="370" spans="1:4">
      <c r="A370" s="3"/>
      <c r="D370" s="3"/>
    </row>
    <row r="371" spans="1:4">
      <c r="A371" s="3"/>
      <c r="D371" s="3"/>
    </row>
    <row r="372" spans="1:4">
      <c r="A372" s="3"/>
      <c r="D372" s="3"/>
    </row>
    <row r="373" spans="1:4">
      <c r="A373" s="3"/>
      <c r="D373" s="3"/>
    </row>
    <row r="374" spans="1:4">
      <c r="A374" s="3"/>
      <c r="D374" s="3"/>
    </row>
    <row r="375" spans="1:4">
      <c r="A375" s="3"/>
      <c r="D375" s="3"/>
    </row>
    <row r="376" spans="1:4">
      <c r="A376" s="3"/>
      <c r="D376" s="3"/>
    </row>
    <row r="377" spans="1:4">
      <c r="A377" s="3"/>
      <c r="D377" s="3"/>
    </row>
    <row r="378" spans="1:4">
      <c r="A378" s="3"/>
      <c r="D378" s="3"/>
    </row>
    <row r="379" spans="1:4">
      <c r="A379" s="3"/>
      <c r="D379" s="3"/>
    </row>
    <row r="380" spans="1:4">
      <c r="A380" s="3"/>
      <c r="D380" s="3"/>
    </row>
    <row r="381" spans="1:4">
      <c r="A381" s="3"/>
      <c r="D381" s="3"/>
    </row>
    <row r="382" spans="1:4">
      <c r="A382" s="3"/>
      <c r="D382" s="3"/>
    </row>
    <row r="383" spans="1:4">
      <c r="A383" s="3"/>
      <c r="D383" s="3"/>
    </row>
    <row r="384" spans="1:4">
      <c r="A384" s="3"/>
      <c r="D384" s="3"/>
    </row>
    <row r="385" spans="1:4">
      <c r="A385" s="3"/>
      <c r="D385" s="3"/>
    </row>
    <row r="386" spans="1:4">
      <c r="A386" s="3"/>
      <c r="D386" s="3"/>
    </row>
    <row r="387" spans="1:4">
      <c r="A387" s="3"/>
      <c r="D387" s="3"/>
    </row>
    <row r="388" spans="1:4">
      <c r="A388" s="3"/>
      <c r="D388" s="3"/>
    </row>
    <row r="389" spans="1:4">
      <c r="A389" s="3"/>
      <c r="D389" s="3"/>
    </row>
    <row r="390" spans="1:4">
      <c r="A390" s="3"/>
      <c r="D390" s="3"/>
    </row>
    <row r="391" spans="1:4">
      <c r="A391" s="3"/>
      <c r="D391" s="3"/>
    </row>
    <row r="392" spans="1:4">
      <c r="A392" s="3"/>
      <c r="D392" s="3"/>
    </row>
    <row r="393" spans="1:4">
      <c r="A393" s="3"/>
      <c r="D393" s="3"/>
    </row>
    <row r="394" spans="1:4">
      <c r="A394" s="3"/>
      <c r="D394" s="3"/>
    </row>
    <row r="395" spans="1:4">
      <c r="A395" s="3"/>
      <c r="D395" s="3"/>
    </row>
    <row r="396" spans="1:4">
      <c r="A396" s="3"/>
      <c r="D396" s="3"/>
    </row>
    <row r="397" spans="1:4">
      <c r="A397" s="3"/>
      <c r="D397" s="3"/>
    </row>
    <row r="398" spans="1:4">
      <c r="A398" s="3"/>
      <c r="D398" s="3"/>
    </row>
    <row r="399" spans="1:4">
      <c r="A399" s="3"/>
      <c r="D399" s="3"/>
    </row>
    <row r="400" spans="1:4">
      <c r="A400" s="3"/>
      <c r="D400" s="3"/>
    </row>
    <row r="401" spans="1:4">
      <c r="A401" s="3"/>
      <c r="D401" s="3"/>
    </row>
    <row r="402" spans="1:4">
      <c r="A402" s="3"/>
      <c r="D402" s="3"/>
    </row>
    <row r="403" spans="1:4">
      <c r="A403" s="3"/>
      <c r="D403" s="3"/>
    </row>
    <row r="404" spans="1:4">
      <c r="A404" s="3"/>
      <c r="D404" s="3"/>
    </row>
    <row r="405" spans="1:4">
      <c r="A405" s="3"/>
      <c r="D405" s="3"/>
    </row>
    <row r="406" spans="1:4">
      <c r="A406" s="3"/>
      <c r="D406" s="3"/>
    </row>
    <row r="407" spans="1:4">
      <c r="A407" s="3"/>
      <c r="D407" s="3"/>
    </row>
    <row r="408" spans="1:4">
      <c r="A408" s="3"/>
      <c r="D408" s="3"/>
    </row>
    <row r="409" spans="1:4">
      <c r="A409" s="3"/>
      <c r="D409" s="3"/>
    </row>
    <row r="410" spans="1:4">
      <c r="A410" s="3"/>
      <c r="D410" s="3"/>
    </row>
    <row r="411" spans="1:4">
      <c r="A411" s="3"/>
      <c r="D411" s="3"/>
    </row>
    <row r="412" spans="1:4">
      <c r="A412" s="3"/>
      <c r="D412" s="3"/>
    </row>
    <row r="413" spans="1:4">
      <c r="A413" s="3"/>
      <c r="D413" s="3"/>
    </row>
    <row r="414" spans="1:4">
      <c r="A414" s="3"/>
      <c r="D414" s="3"/>
    </row>
    <row r="415" spans="1:4">
      <c r="A415" s="3"/>
      <c r="D415" s="3"/>
    </row>
    <row r="416" spans="1:4">
      <c r="A416" s="3"/>
      <c r="D416" s="3"/>
    </row>
    <row r="417" spans="1:4">
      <c r="A417" s="3"/>
      <c r="D417" s="3"/>
    </row>
    <row r="418" spans="1:4">
      <c r="A418" s="3"/>
      <c r="D418" s="3"/>
    </row>
    <row r="419" spans="1:4">
      <c r="A419" s="3"/>
      <c r="D419" s="3"/>
    </row>
    <row r="420" spans="1:4">
      <c r="A420" s="3"/>
      <c r="D420" s="3"/>
    </row>
    <row r="421" spans="1:4">
      <c r="A421" s="3"/>
      <c r="D421" s="3"/>
    </row>
    <row r="422" spans="1:4">
      <c r="A422" s="3"/>
      <c r="D422" s="3"/>
    </row>
    <row r="423" spans="1:4">
      <c r="A423" s="3"/>
      <c r="D423" s="3"/>
    </row>
    <row r="424" spans="1:4">
      <c r="A424" s="3"/>
      <c r="D424" s="3"/>
    </row>
    <row r="425" spans="1:4">
      <c r="A425" s="3"/>
      <c r="D425" s="3"/>
    </row>
    <row r="426" spans="1:4">
      <c r="A426" s="3"/>
      <c r="D426" s="3"/>
    </row>
    <row r="427" spans="1:4">
      <c r="A427" s="3"/>
      <c r="D427" s="3"/>
    </row>
    <row r="428" spans="1:4">
      <c r="A428" s="3"/>
      <c r="D428" s="3"/>
    </row>
    <row r="429" spans="1:4">
      <c r="A429" s="3"/>
      <c r="D429" s="3"/>
    </row>
    <row r="430" spans="1:4">
      <c r="A430" s="3"/>
      <c r="D430" s="3"/>
    </row>
    <row r="431" spans="1:4">
      <c r="A431" s="3"/>
      <c r="D431" s="3"/>
    </row>
    <row r="432" spans="1:4">
      <c r="A432" s="3"/>
      <c r="D432" s="3"/>
    </row>
    <row r="433" spans="1:4">
      <c r="A433" s="3"/>
      <c r="D433" s="3"/>
    </row>
    <row r="434" spans="1:4">
      <c r="A434" s="3"/>
      <c r="D434" s="3"/>
    </row>
    <row r="435" spans="1:4">
      <c r="A435" s="3"/>
      <c r="D435" s="3"/>
    </row>
    <row r="436" spans="1:4">
      <c r="A436" s="3"/>
      <c r="D436" s="3"/>
    </row>
    <row r="437" spans="1:4">
      <c r="A437" s="3"/>
      <c r="D437" s="3"/>
    </row>
    <row r="438" spans="1:4">
      <c r="A438" s="3"/>
      <c r="D438" s="3"/>
    </row>
    <row r="439" spans="1:4">
      <c r="A439" s="3"/>
      <c r="D439" s="3"/>
    </row>
    <row r="440" spans="1:4">
      <c r="A440" s="3"/>
      <c r="D440" s="3"/>
    </row>
    <row r="441" spans="1:4">
      <c r="A441" s="3"/>
      <c r="D441" s="3"/>
    </row>
    <row r="442" spans="1:4">
      <c r="A442" s="3"/>
      <c r="D442" s="3"/>
    </row>
    <row r="443" spans="1:4">
      <c r="A443" s="3"/>
      <c r="D443" s="3"/>
    </row>
    <row r="444" spans="1:4">
      <c r="A444" s="3"/>
      <c r="D444" s="3"/>
    </row>
    <row r="445" spans="1:4">
      <c r="A445" s="3"/>
      <c r="D445" s="3"/>
    </row>
    <row r="446" spans="1:4">
      <c r="A446" s="3"/>
      <c r="D446" s="3"/>
    </row>
    <row r="447" spans="1:4">
      <c r="A447" s="3"/>
      <c r="D447" s="3"/>
    </row>
    <row r="448" spans="1:4">
      <c r="A448" s="3"/>
      <c r="D448" s="3"/>
    </row>
    <row r="449" spans="1:4">
      <c r="A449" s="3"/>
      <c r="D449" s="3"/>
    </row>
    <row r="450" spans="1:4">
      <c r="A450" s="3"/>
      <c r="D450" s="3"/>
    </row>
    <row r="451" spans="1:4">
      <c r="A451" s="3"/>
      <c r="D451" s="3"/>
    </row>
    <row r="452" spans="1:4">
      <c r="A452" s="3"/>
      <c r="D452" s="3"/>
    </row>
    <row r="453" spans="1:4">
      <c r="A453" s="3"/>
      <c r="D453" s="3"/>
    </row>
    <row r="454" spans="1:4">
      <c r="A454" s="3"/>
      <c r="D454" s="3"/>
    </row>
    <row r="455" spans="1:4">
      <c r="A455" s="3"/>
      <c r="D455" s="3"/>
    </row>
    <row r="456" spans="1:4">
      <c r="A456" s="3"/>
      <c r="D456" s="3"/>
    </row>
    <row r="457" spans="1:4">
      <c r="A457" s="3"/>
      <c r="D457" s="3"/>
    </row>
    <row r="458" spans="1:4">
      <c r="A458" s="3"/>
      <c r="D458" s="3"/>
    </row>
    <row r="459" spans="1:4">
      <c r="A459" s="3"/>
      <c r="D459" s="3"/>
    </row>
    <row r="460" spans="1:4">
      <c r="A460" s="3"/>
      <c r="D460" s="3"/>
    </row>
    <row r="461" spans="1:4">
      <c r="A461" s="3"/>
      <c r="D461" s="3"/>
    </row>
    <row r="462" spans="1:4">
      <c r="A462" s="3"/>
      <c r="D462" s="3"/>
    </row>
    <row r="463" spans="1:4">
      <c r="A463" s="3"/>
      <c r="D463" s="3"/>
    </row>
    <row r="464" spans="1:4">
      <c r="A464" s="3"/>
      <c r="D464" s="3"/>
    </row>
    <row r="465" spans="1:4">
      <c r="A465" s="3"/>
      <c r="D465" s="3"/>
    </row>
    <row r="466" spans="1:4">
      <c r="A466" s="3"/>
      <c r="D466" s="3"/>
    </row>
    <row r="467" spans="1:4">
      <c r="A467" s="3"/>
      <c r="D467" s="3"/>
    </row>
    <row r="468" spans="1:4">
      <c r="A468" s="3"/>
      <c r="D468" s="3"/>
    </row>
    <row r="469" spans="1:4">
      <c r="A469" s="3"/>
      <c r="D469" s="3"/>
    </row>
    <row r="470" spans="1:4">
      <c r="A470" s="3"/>
      <c r="D470" s="3"/>
    </row>
    <row r="471" spans="1:4">
      <c r="A471" s="3"/>
      <c r="D471" s="3"/>
    </row>
    <row r="472" spans="1:4">
      <c r="A472" s="3"/>
      <c r="D472" s="3"/>
    </row>
    <row r="473" spans="1:4">
      <c r="A473" s="3"/>
      <c r="D473" s="3"/>
    </row>
    <row r="474" spans="1:4">
      <c r="A474" s="3"/>
      <c r="D474" s="3"/>
    </row>
    <row r="475" spans="1:4">
      <c r="A475" s="3"/>
      <c r="D475" s="3"/>
    </row>
    <row r="476" spans="1:4">
      <c r="A476" s="3"/>
      <c r="D476" s="3"/>
    </row>
    <row r="477" spans="1:4">
      <c r="A477" s="3"/>
      <c r="D477" s="3"/>
    </row>
    <row r="478" spans="1:4">
      <c r="A478" s="3"/>
      <c r="D478" s="3"/>
    </row>
    <row r="479" spans="1:4">
      <c r="A479" s="3"/>
      <c r="D479" s="3"/>
    </row>
    <row r="480" spans="1:4">
      <c r="A480" s="3"/>
      <c r="D480" s="3"/>
    </row>
    <row r="481" spans="1:4">
      <c r="A481" s="3"/>
      <c r="D481" s="3"/>
    </row>
    <row r="482" spans="1:4">
      <c r="A482" s="3"/>
      <c r="D482" s="3"/>
    </row>
    <row r="483" spans="1:4">
      <c r="A483" s="3"/>
      <c r="D483" s="3"/>
    </row>
    <row r="484" spans="1:4">
      <c r="A484" s="3"/>
      <c r="D484" s="3"/>
    </row>
    <row r="485" spans="1:4">
      <c r="A485" s="3"/>
      <c r="D485" s="3"/>
    </row>
    <row r="486" spans="1:4">
      <c r="A486" s="3"/>
      <c r="D486" s="3"/>
    </row>
    <row r="487" spans="1:4">
      <c r="A487" s="3"/>
      <c r="D487" s="3"/>
    </row>
    <row r="488" spans="1:4">
      <c r="A488" s="3"/>
      <c r="D488" s="3"/>
    </row>
    <row r="489" spans="1:4">
      <c r="A489" s="3"/>
      <c r="D489" s="3"/>
    </row>
    <row r="490" spans="1:4">
      <c r="A490" s="3"/>
      <c r="D490" s="3"/>
    </row>
    <row r="491" spans="1:4">
      <c r="A491" s="3"/>
      <c r="D491" s="3"/>
    </row>
    <row r="492" spans="1:4">
      <c r="A492" s="3"/>
      <c r="D492" s="3"/>
    </row>
    <row r="493" spans="1:4">
      <c r="A493" s="3"/>
      <c r="D493" s="3"/>
    </row>
    <row r="494" spans="1:4">
      <c r="A494" s="3"/>
      <c r="D494" s="3"/>
    </row>
    <row r="495" spans="1:4">
      <c r="A495" s="3"/>
      <c r="D495" s="3"/>
    </row>
    <row r="496" spans="1:4">
      <c r="A496" s="3"/>
      <c r="D496" s="3"/>
    </row>
    <row r="497" spans="1:4">
      <c r="A497" s="3"/>
      <c r="D497" s="3"/>
    </row>
    <row r="498" spans="1:4">
      <c r="A498" s="3"/>
      <c r="D498" s="3"/>
    </row>
    <row r="499" spans="1:4">
      <c r="A499" s="3"/>
      <c r="D499" s="3"/>
    </row>
    <row r="500" spans="1:4">
      <c r="A500" s="3"/>
      <c r="D500" s="3"/>
    </row>
    <row r="501" spans="1:4">
      <c r="A501" s="3"/>
      <c r="D501" s="3"/>
    </row>
    <row r="502" spans="1:4">
      <c r="A502" s="3"/>
      <c r="D502" s="3"/>
    </row>
    <row r="503" spans="1:4">
      <c r="A503" s="3"/>
      <c r="D503" s="3"/>
    </row>
    <row r="504" spans="1:4">
      <c r="A504" s="3"/>
      <c r="D504" s="3"/>
    </row>
    <row r="505" spans="1:4">
      <c r="A505" s="3"/>
      <c r="D505" s="3"/>
    </row>
    <row r="506" spans="1:4">
      <c r="A506" s="3"/>
      <c r="D506" s="3"/>
    </row>
    <row r="507" spans="1:4">
      <c r="A507" s="3"/>
      <c r="D507" s="3"/>
    </row>
    <row r="508" spans="1:4">
      <c r="A508" s="3"/>
      <c r="D508" s="3"/>
    </row>
    <row r="509" spans="1:4">
      <c r="A509" s="3"/>
      <c r="D509" s="3"/>
    </row>
    <row r="510" spans="1:4">
      <c r="A510" s="3"/>
      <c r="D510" s="3"/>
    </row>
    <row r="511" spans="1:4">
      <c r="A511" s="3"/>
      <c r="D511" s="3"/>
    </row>
    <row r="512" spans="1:4">
      <c r="A512" s="3"/>
      <c r="D512" s="3"/>
    </row>
    <row r="513" spans="1:4">
      <c r="A513" s="3"/>
      <c r="D513" s="3"/>
    </row>
    <row r="514" spans="1:4">
      <c r="A514" s="3"/>
      <c r="D514" s="3"/>
    </row>
    <row r="515" spans="1:4">
      <c r="A515" s="3"/>
      <c r="D515" s="3"/>
    </row>
    <row r="516" spans="1:4">
      <c r="A516" s="3"/>
      <c r="D516" s="3"/>
    </row>
    <row r="517" spans="1:4">
      <c r="A517" s="3"/>
      <c r="D517" s="3"/>
    </row>
    <row r="518" spans="1:4">
      <c r="A518" s="3"/>
      <c r="D518" s="3"/>
    </row>
    <row r="519" spans="1:4">
      <c r="A519" s="3"/>
      <c r="D519" s="3"/>
    </row>
    <row r="520" spans="1:4">
      <c r="A520" s="3"/>
      <c r="D520" s="3"/>
    </row>
    <row r="521" spans="1:4">
      <c r="A521" s="3"/>
      <c r="D521" s="3"/>
    </row>
    <row r="522" spans="1:4">
      <c r="A522" s="3"/>
      <c r="D522" s="3"/>
    </row>
    <row r="523" spans="1:4">
      <c r="A523" s="3"/>
      <c r="D523" s="3"/>
    </row>
    <row r="524" spans="1:4">
      <c r="A524" s="3"/>
      <c r="D524" s="3"/>
    </row>
    <row r="525" spans="1:4">
      <c r="A525" s="3"/>
      <c r="D525" s="3"/>
    </row>
    <row r="526" spans="1:4">
      <c r="A526" s="3"/>
      <c r="D526" s="3"/>
    </row>
    <row r="527" spans="1:4">
      <c r="A527" s="3"/>
      <c r="D527" s="3"/>
    </row>
    <row r="528" spans="1:4">
      <c r="A528" s="3"/>
      <c r="D528" s="3"/>
    </row>
    <row r="529" spans="1:4">
      <c r="A529" s="3"/>
      <c r="D529" s="3"/>
    </row>
    <row r="530" spans="1:4">
      <c r="A530" s="3"/>
      <c r="D530" s="3"/>
    </row>
    <row r="531" spans="1:4">
      <c r="A531" s="3"/>
      <c r="D531" s="3"/>
    </row>
    <row r="532" spans="1:4">
      <c r="A532" s="3"/>
      <c r="D532" s="3"/>
    </row>
    <row r="533" spans="1:4">
      <c r="A533" s="3"/>
      <c r="D533" s="3"/>
    </row>
    <row r="534" spans="1:4">
      <c r="A534" s="3"/>
      <c r="D534" s="3"/>
    </row>
    <row r="535" spans="1:4">
      <c r="A535" s="3"/>
      <c r="D535" s="3"/>
    </row>
    <row r="536" spans="1:4">
      <c r="A536" s="3"/>
      <c r="D536" s="3"/>
    </row>
    <row r="537" spans="1:4">
      <c r="A537" s="3"/>
      <c r="D537" s="3"/>
    </row>
    <row r="538" spans="1:4">
      <c r="A538" s="3"/>
      <c r="D538" s="3"/>
    </row>
    <row r="539" spans="1:4">
      <c r="A539" s="3"/>
      <c r="D539" s="3"/>
    </row>
    <row r="540" spans="1:4">
      <c r="A540" s="3"/>
      <c r="D540" s="3"/>
    </row>
    <row r="541" spans="1:4">
      <c r="A541" s="3"/>
      <c r="D541" s="3"/>
    </row>
    <row r="542" spans="1:4">
      <c r="A542" s="3"/>
      <c r="D542" s="3"/>
    </row>
    <row r="543" spans="1:4">
      <c r="A543" s="3"/>
      <c r="D543" s="3"/>
    </row>
    <row r="544" spans="1:4">
      <c r="A544" s="3"/>
      <c r="D544" s="3"/>
    </row>
    <row r="545" spans="1:4">
      <c r="A545" s="3"/>
      <c r="D545" s="3"/>
    </row>
    <row r="546" spans="1:4">
      <c r="A546" s="3"/>
      <c r="D546" s="3"/>
    </row>
    <row r="547" spans="1:4">
      <c r="A547" s="3"/>
      <c r="D547" s="3"/>
    </row>
    <row r="548" spans="1:4">
      <c r="A548" s="3"/>
      <c r="D548" s="3"/>
    </row>
    <row r="549" spans="1:4">
      <c r="A549" s="3"/>
      <c r="D549" s="3"/>
    </row>
    <row r="550" spans="1:4">
      <c r="A550" s="3"/>
      <c r="D550" s="3"/>
    </row>
    <row r="551" spans="1:4">
      <c r="A551" s="3"/>
      <c r="D551" s="3"/>
    </row>
    <row r="552" spans="1:4">
      <c r="A552" s="3"/>
      <c r="D552" s="3"/>
    </row>
    <row r="553" spans="1:4">
      <c r="A553" s="3"/>
      <c r="D553" s="3"/>
    </row>
    <row r="554" spans="1:4">
      <c r="A554" s="3"/>
      <c r="D554" s="3"/>
    </row>
    <row r="555" spans="1:4">
      <c r="A555" s="3"/>
      <c r="D555" s="3"/>
    </row>
    <row r="556" spans="1:4">
      <c r="A556" s="3"/>
      <c r="D556" s="3"/>
    </row>
    <row r="557" spans="1:4">
      <c r="A557" s="3"/>
      <c r="D557" s="3"/>
    </row>
    <row r="558" spans="1:4">
      <c r="A558" s="3"/>
      <c r="D558" s="3"/>
    </row>
    <row r="559" spans="1:4">
      <c r="A559" s="3"/>
      <c r="D559" s="3"/>
    </row>
    <row r="560" spans="1:4">
      <c r="A560" s="3"/>
      <c r="D560" s="3"/>
    </row>
    <row r="561" spans="1:4">
      <c r="A561" s="3"/>
      <c r="D561" s="3"/>
    </row>
    <row r="562" spans="1:4">
      <c r="A562" s="3"/>
      <c r="D562" s="3"/>
    </row>
    <row r="563" spans="1:4">
      <c r="A563" s="3"/>
      <c r="D563" s="3"/>
    </row>
    <row r="564" spans="1:4">
      <c r="A564" s="3"/>
      <c r="D564" s="3"/>
    </row>
    <row r="565" spans="1:4">
      <c r="A565" s="3"/>
      <c r="D565" s="3"/>
    </row>
    <row r="566" spans="1:4">
      <c r="A566" s="3"/>
      <c r="D566" s="3"/>
    </row>
    <row r="567" spans="1:4">
      <c r="A567" s="3"/>
      <c r="D567" s="3"/>
    </row>
    <row r="568" spans="1:4">
      <c r="A568" s="3"/>
      <c r="D568" s="3"/>
    </row>
    <row r="569" spans="1:4">
      <c r="A569" s="3"/>
      <c r="D569" s="3"/>
    </row>
    <row r="570" spans="1:4">
      <c r="A570" s="3"/>
      <c r="D570" s="3"/>
    </row>
    <row r="571" spans="1:4">
      <c r="A571" s="3"/>
      <c r="D571" s="3"/>
    </row>
    <row r="572" spans="1:4">
      <c r="A572" s="3"/>
      <c r="D572" s="3"/>
    </row>
    <row r="573" spans="1:4">
      <c r="A573" s="3"/>
      <c r="D573" s="3"/>
    </row>
    <row r="574" spans="1:4">
      <c r="A574" s="3"/>
      <c r="D574" s="3"/>
    </row>
    <row r="575" spans="1:4">
      <c r="A575" s="3"/>
      <c r="D575" s="3"/>
    </row>
    <row r="576" spans="1:4">
      <c r="A576" s="3"/>
      <c r="D576" s="3"/>
    </row>
    <row r="577" spans="1:4">
      <c r="A577" s="3"/>
      <c r="D577" s="3"/>
    </row>
    <row r="578" spans="1:4">
      <c r="A578" s="3"/>
      <c r="D578" s="3"/>
    </row>
    <row r="579" spans="1:4">
      <c r="A579" s="3"/>
      <c r="D579" s="3"/>
    </row>
    <row r="580" spans="1:4">
      <c r="A580" s="3"/>
      <c r="D580" s="3"/>
    </row>
    <row r="581" spans="1:4">
      <c r="A581" s="3"/>
      <c r="D581" s="3"/>
    </row>
    <row r="582" spans="1:4">
      <c r="A582" s="3"/>
      <c r="D582" s="3"/>
    </row>
    <row r="583" spans="1:4">
      <c r="A583" s="3"/>
      <c r="D583" s="3"/>
    </row>
    <row r="584" spans="1:4">
      <c r="A584" s="3"/>
      <c r="D584" s="3"/>
    </row>
    <row r="585" spans="1:4">
      <c r="A585" s="3"/>
      <c r="D585" s="3"/>
    </row>
    <row r="586" spans="1:4">
      <c r="A586" s="3"/>
      <c r="D586" s="3"/>
    </row>
    <row r="587" spans="1:4">
      <c r="A587" s="3"/>
      <c r="D587" s="3"/>
    </row>
    <row r="588" spans="1:4">
      <c r="A588" s="3"/>
      <c r="D588" s="3"/>
    </row>
    <row r="589" spans="1:4">
      <c r="A589" s="3"/>
      <c r="D589" s="3"/>
    </row>
    <row r="590" spans="1:4">
      <c r="A590" s="3"/>
      <c r="D590" s="3"/>
    </row>
    <row r="591" spans="1:4">
      <c r="A591" s="3"/>
      <c r="D591" s="3"/>
    </row>
    <row r="592" spans="1:4">
      <c r="A592" s="3"/>
      <c r="D592" s="3"/>
    </row>
    <row r="593" spans="1:4">
      <c r="A593" s="3"/>
      <c r="D593" s="3"/>
    </row>
    <row r="594" spans="1:4">
      <c r="A594" s="3"/>
      <c r="D594" s="3"/>
    </row>
    <row r="595" spans="1:4">
      <c r="A595" s="3"/>
      <c r="D595" s="3"/>
    </row>
    <row r="596" spans="1:4">
      <c r="A596" s="3"/>
      <c r="D596" s="3"/>
    </row>
    <row r="597" spans="1:4">
      <c r="A597" s="3"/>
      <c r="D597" s="3"/>
    </row>
    <row r="598" spans="1:4">
      <c r="A598" s="3"/>
      <c r="D598" s="3"/>
    </row>
    <row r="599" spans="1:4">
      <c r="A599" s="3"/>
      <c r="D599" s="3"/>
    </row>
    <row r="600" spans="1:4">
      <c r="A600" s="3"/>
      <c r="D600" s="3"/>
    </row>
    <row r="601" spans="1:4">
      <c r="A601" s="3"/>
      <c r="D601" s="3"/>
    </row>
    <row r="602" spans="1:4">
      <c r="A602" s="3"/>
      <c r="D602" s="3"/>
    </row>
    <row r="603" spans="1:4">
      <c r="A603" s="3"/>
      <c r="D603" s="3"/>
    </row>
    <row r="604" spans="1:4">
      <c r="A604" s="3"/>
      <c r="D604" s="3"/>
    </row>
    <row r="605" spans="1:4">
      <c r="A605" s="3"/>
      <c r="D605" s="3"/>
    </row>
    <row r="606" spans="1:4">
      <c r="A606" s="3"/>
      <c r="D606" s="3"/>
    </row>
    <row r="607" spans="1:4">
      <c r="A607" s="3"/>
      <c r="D607" s="3"/>
    </row>
    <row r="608" spans="1:4">
      <c r="A608" s="3"/>
      <c r="D608" s="3"/>
    </row>
    <row r="609" spans="1:4">
      <c r="A609" s="3"/>
      <c r="D609" s="3"/>
    </row>
    <row r="610" spans="1:4">
      <c r="A610" s="3"/>
      <c r="D610" s="3"/>
    </row>
    <row r="611" spans="1:4">
      <c r="A611" s="3"/>
      <c r="D611" s="3"/>
    </row>
    <row r="612" spans="1:4">
      <c r="A612" s="3"/>
      <c r="D612" s="3"/>
    </row>
    <row r="613" spans="1:4">
      <c r="A613" s="3"/>
      <c r="D613" s="3"/>
    </row>
    <row r="614" spans="1:4">
      <c r="A614" s="3"/>
      <c r="D614" s="3"/>
    </row>
    <row r="615" spans="1:4">
      <c r="A615" s="3"/>
      <c r="D615" s="3"/>
    </row>
    <row r="616" spans="1:4">
      <c r="A616" s="3"/>
      <c r="D616" s="3"/>
    </row>
    <row r="617" spans="1:4">
      <c r="A617" s="3"/>
      <c r="D617" s="3"/>
    </row>
    <row r="618" spans="1:4">
      <c r="A618" s="3"/>
      <c r="D618" s="3"/>
    </row>
    <row r="619" spans="1:4">
      <c r="A619" s="3"/>
      <c r="D619" s="3"/>
    </row>
    <row r="620" spans="1:4">
      <c r="A620" s="3"/>
      <c r="D620" s="3"/>
    </row>
    <row r="621" spans="1:4">
      <c r="A621" s="3"/>
      <c r="D621" s="3"/>
    </row>
    <row r="622" spans="1:4">
      <c r="A622" s="3"/>
      <c r="D622" s="3"/>
    </row>
    <row r="623" spans="1:4">
      <c r="A623" s="3"/>
      <c r="D623" s="3"/>
    </row>
    <row r="624" spans="1:4">
      <c r="A624" s="3"/>
      <c r="D624" s="3"/>
    </row>
    <row r="625" spans="1:4">
      <c r="A625" s="3"/>
      <c r="D625" s="3"/>
    </row>
    <row r="626" spans="1:4">
      <c r="A626" s="3"/>
      <c r="D626" s="3"/>
    </row>
    <row r="627" spans="1:4">
      <c r="A627" s="3"/>
      <c r="D627" s="3"/>
    </row>
    <row r="628" spans="1:4">
      <c r="A628" s="3"/>
      <c r="D628" s="3"/>
    </row>
    <row r="629" spans="1:4">
      <c r="A629" s="3"/>
      <c r="D629" s="3"/>
    </row>
    <row r="630" spans="1:4">
      <c r="A630" s="3"/>
      <c r="D630" s="3"/>
    </row>
    <row r="631" spans="1:4">
      <c r="A631" s="3"/>
      <c r="D631" s="3"/>
    </row>
    <row r="632" spans="1:4">
      <c r="A632" s="3"/>
      <c r="D632" s="3"/>
    </row>
    <row r="633" spans="1:4">
      <c r="A633" s="3"/>
      <c r="D633" s="3"/>
    </row>
    <row r="634" spans="1:4">
      <c r="A634" s="3"/>
      <c r="D634" s="3"/>
    </row>
    <row r="635" spans="1:4">
      <c r="A635" s="3"/>
      <c r="D635" s="3"/>
    </row>
    <row r="636" spans="1:4">
      <c r="A636" s="3"/>
      <c r="D636" s="3"/>
    </row>
    <row r="637" spans="1:4">
      <c r="A637" s="3"/>
      <c r="D637" s="3"/>
    </row>
    <row r="638" spans="1:4">
      <c r="A638" s="3"/>
      <c r="D638" s="3"/>
    </row>
    <row r="639" spans="1:4">
      <c r="A639" s="3"/>
      <c r="D639" s="3"/>
    </row>
    <row r="640" spans="1:4">
      <c r="A640" s="3"/>
      <c r="D640" s="3"/>
    </row>
    <row r="641" spans="1:4">
      <c r="A641" s="3"/>
      <c r="D641" s="3"/>
    </row>
    <row r="642" spans="1:4">
      <c r="A642" s="3"/>
      <c r="D642" s="3"/>
    </row>
    <row r="643" spans="1:4">
      <c r="A643" s="3"/>
      <c r="D643" s="3"/>
    </row>
    <row r="644" spans="1:4">
      <c r="A644" s="3"/>
      <c r="D644" s="3"/>
    </row>
    <row r="645" spans="1:4">
      <c r="A645" s="3"/>
      <c r="D645" s="3"/>
    </row>
    <row r="646" spans="1:4">
      <c r="A646" s="3"/>
      <c r="D646" s="3"/>
    </row>
    <row r="647" spans="1:4">
      <c r="A647" s="3"/>
      <c r="D647" s="3"/>
    </row>
    <row r="648" spans="1:4">
      <c r="A648" s="3"/>
      <c r="D648" s="3"/>
    </row>
    <row r="649" spans="1:4">
      <c r="A649" s="3"/>
      <c r="D649" s="3"/>
    </row>
    <row r="650" spans="1:4">
      <c r="A650" s="3"/>
      <c r="D650" s="3"/>
    </row>
    <row r="651" spans="1:4">
      <c r="A651" s="3"/>
      <c r="D651" s="3"/>
    </row>
    <row r="652" spans="1:4">
      <c r="A652" s="3"/>
      <c r="D652" s="3"/>
    </row>
    <row r="653" spans="1:4">
      <c r="A653" s="3"/>
      <c r="D653" s="3"/>
    </row>
    <row r="654" spans="1:4">
      <c r="A654" s="3"/>
      <c r="D654" s="3"/>
    </row>
    <row r="655" spans="1:4">
      <c r="A655" s="3"/>
      <c r="D655" s="3"/>
    </row>
    <row r="656" spans="1:4">
      <c r="A656" s="3"/>
      <c r="D656" s="3"/>
    </row>
    <row r="657" spans="1:4">
      <c r="A657" s="3"/>
      <c r="D657" s="3"/>
    </row>
    <row r="658" spans="1:4">
      <c r="A658" s="3"/>
      <c r="D658" s="3"/>
    </row>
    <row r="659" spans="1:4">
      <c r="A659" s="3"/>
      <c r="D659" s="3"/>
    </row>
    <row r="660" spans="1:4">
      <c r="A660" s="3"/>
      <c r="D660" s="3"/>
    </row>
    <row r="661" spans="1:4">
      <c r="A661" s="3"/>
      <c r="D661" s="3"/>
    </row>
    <row r="662" spans="1:4">
      <c r="A662" s="3"/>
      <c r="D662" s="3"/>
    </row>
    <row r="663" spans="1:4">
      <c r="A663" s="3"/>
      <c r="D663" s="3"/>
    </row>
    <row r="664" spans="1:4">
      <c r="A664" s="3"/>
      <c r="D664" s="3"/>
    </row>
    <row r="665" spans="1:4">
      <c r="A665" s="3"/>
      <c r="D665" s="3"/>
    </row>
    <row r="666" spans="1:4">
      <c r="A666" s="3"/>
      <c r="D666" s="3"/>
    </row>
    <row r="667" spans="1:4">
      <c r="A667" s="3"/>
      <c r="D667" s="3"/>
    </row>
    <row r="668" spans="1:4">
      <c r="A668" s="3"/>
      <c r="D668" s="3"/>
    </row>
    <row r="669" spans="1:4">
      <c r="A669" s="3"/>
      <c r="D669" s="3"/>
    </row>
    <row r="670" spans="1:4">
      <c r="A670" s="3"/>
      <c r="D670" s="3"/>
    </row>
    <row r="671" spans="1:4">
      <c r="A671" s="3"/>
      <c r="D671" s="3"/>
    </row>
    <row r="672" spans="1:4">
      <c r="A672" s="3"/>
      <c r="D672" s="3"/>
    </row>
    <row r="673" spans="1:4">
      <c r="A673" s="3"/>
      <c r="D673" s="3"/>
    </row>
    <row r="674" spans="1:4">
      <c r="A674" s="3"/>
      <c r="D674" s="3"/>
    </row>
    <row r="675" spans="1:4">
      <c r="A675" s="3"/>
      <c r="D675" s="3"/>
    </row>
    <row r="676" spans="1:4">
      <c r="A676" s="3"/>
      <c r="D676" s="3"/>
    </row>
    <row r="677" spans="1:4">
      <c r="A677" s="3"/>
      <c r="D677" s="3"/>
    </row>
    <row r="678" spans="1:4">
      <c r="A678" s="3"/>
      <c r="D678" s="3"/>
    </row>
    <row r="679" spans="1:4">
      <c r="A679" s="3"/>
      <c r="D679" s="3"/>
    </row>
    <row r="680" spans="1:4">
      <c r="A680" s="3"/>
      <c r="D680" s="3"/>
    </row>
    <row r="681" spans="1:4">
      <c r="A681" s="3"/>
      <c r="D681" s="3"/>
    </row>
    <row r="682" spans="1:4">
      <c r="A682" s="3"/>
      <c r="D682" s="3"/>
    </row>
    <row r="683" spans="1:4">
      <c r="A683" s="3"/>
      <c r="D683" s="3"/>
    </row>
    <row r="684" spans="1:4">
      <c r="A684" s="3"/>
      <c r="D684" s="3"/>
    </row>
    <row r="685" spans="1:4">
      <c r="A685" s="3"/>
      <c r="D685" s="3"/>
    </row>
    <row r="686" spans="1:4">
      <c r="A686" s="3"/>
      <c r="D686" s="3"/>
    </row>
    <row r="687" spans="1:4">
      <c r="A687" s="3"/>
      <c r="D687" s="3"/>
    </row>
    <row r="688" spans="1:4">
      <c r="A688" s="3"/>
      <c r="D688" s="3"/>
    </row>
    <row r="689" spans="1:4">
      <c r="A689" s="3"/>
      <c r="D689" s="3"/>
    </row>
    <row r="690" spans="1:4">
      <c r="A690" s="3"/>
      <c r="D690" s="3"/>
    </row>
    <row r="691" spans="1:4">
      <c r="A691" s="3"/>
      <c r="D691" s="3"/>
    </row>
    <row r="692" spans="1:4">
      <c r="A692" s="3"/>
      <c r="D692" s="3"/>
    </row>
    <row r="693" spans="1:4">
      <c r="A693" s="3"/>
      <c r="D693" s="3"/>
    </row>
    <row r="694" spans="1:4">
      <c r="A694" s="3"/>
      <c r="D694" s="3"/>
    </row>
    <row r="695" spans="1:4">
      <c r="A695" s="3"/>
      <c r="D695" s="3"/>
    </row>
    <row r="696" spans="1:4">
      <c r="A696" s="3"/>
      <c r="D696" s="3"/>
    </row>
    <row r="697" spans="1:4">
      <c r="A697" s="3"/>
      <c r="D697" s="3"/>
    </row>
    <row r="698" spans="1:4">
      <c r="A698" s="3"/>
      <c r="D698" s="3"/>
    </row>
    <row r="699" spans="1:4">
      <c r="A699" s="3"/>
      <c r="D699" s="3"/>
    </row>
    <row r="700" spans="1:4">
      <c r="A700" s="3"/>
      <c r="D700" s="3"/>
    </row>
    <row r="701" spans="1:4">
      <c r="A701" s="3"/>
      <c r="D701" s="3"/>
    </row>
    <row r="702" spans="1:4">
      <c r="A702" s="3"/>
      <c r="D702" s="3"/>
    </row>
    <row r="703" spans="1:4">
      <c r="A703" s="3"/>
      <c r="D703" s="3"/>
    </row>
    <row r="704" spans="1:4">
      <c r="A704" s="3"/>
      <c r="D704" s="3"/>
    </row>
    <row r="705" spans="1:4">
      <c r="A705" s="3"/>
      <c r="D705" s="3"/>
    </row>
    <row r="706" spans="1:4">
      <c r="A706" s="3"/>
      <c r="D706" s="3"/>
    </row>
    <row r="707" spans="1:4">
      <c r="A707" s="3"/>
      <c r="D707" s="3"/>
    </row>
    <row r="708" spans="1:4">
      <c r="A708" s="3"/>
      <c r="D708" s="3"/>
    </row>
    <row r="709" spans="1:4">
      <c r="A709" s="3"/>
      <c r="D709" s="3"/>
    </row>
    <row r="710" spans="1:4">
      <c r="A710" s="3"/>
      <c r="D710" s="3"/>
    </row>
    <row r="711" spans="1:4">
      <c r="A711" s="3"/>
      <c r="D711" s="3"/>
    </row>
    <row r="712" spans="1:4">
      <c r="A712" s="3"/>
      <c r="D712" s="3"/>
    </row>
    <row r="713" spans="1:4">
      <c r="A713" s="3"/>
      <c r="D713" s="3"/>
    </row>
    <row r="714" spans="1:4">
      <c r="A714" s="3"/>
      <c r="D714" s="3"/>
    </row>
    <row r="715" spans="1:4">
      <c r="A715" s="3"/>
      <c r="D715" s="3"/>
    </row>
    <row r="716" spans="1:4">
      <c r="A716" s="3"/>
      <c r="D716" s="3"/>
    </row>
    <row r="717" spans="1:4">
      <c r="A717" s="3"/>
      <c r="D717" s="3"/>
    </row>
    <row r="718" spans="1:4">
      <c r="A718" s="3"/>
      <c r="D718" s="3"/>
    </row>
    <row r="719" spans="1:4">
      <c r="A719" s="3"/>
      <c r="D719" s="3"/>
    </row>
    <row r="720" spans="1:4">
      <c r="A720" s="3"/>
      <c r="D720" s="3"/>
    </row>
    <row r="721" spans="1:4">
      <c r="A721" s="3"/>
      <c r="D721" s="3"/>
    </row>
    <row r="722" spans="1:4">
      <c r="A722" s="3"/>
      <c r="D722" s="3"/>
    </row>
    <row r="723" spans="1:4">
      <c r="A723" s="3"/>
      <c r="D723" s="3"/>
    </row>
    <row r="724" spans="1:4">
      <c r="A724" s="3"/>
      <c r="D724" s="3"/>
    </row>
    <row r="725" spans="1:4">
      <c r="A725" s="3"/>
      <c r="D725" s="3"/>
    </row>
    <row r="726" spans="1:4">
      <c r="A726" s="3"/>
      <c r="D726" s="3"/>
    </row>
    <row r="727" spans="1:4">
      <c r="A727" s="3"/>
      <c r="D727" s="3"/>
    </row>
    <row r="728" spans="1:4">
      <c r="A728" s="3"/>
      <c r="D728" s="3"/>
    </row>
    <row r="729" spans="1:4">
      <c r="A729" s="3"/>
      <c r="D729" s="3"/>
    </row>
    <row r="730" spans="1:4">
      <c r="A730" s="3"/>
      <c r="D730" s="3"/>
    </row>
    <row r="731" spans="1:4">
      <c r="A731" s="3"/>
      <c r="D731" s="3"/>
    </row>
    <row r="732" spans="1:4">
      <c r="A732" s="3"/>
      <c r="D732" s="3"/>
    </row>
    <row r="733" spans="1:4">
      <c r="A733" s="3"/>
      <c r="D733" s="3"/>
    </row>
    <row r="734" spans="1:4">
      <c r="A734" s="3"/>
      <c r="D734" s="3"/>
    </row>
    <row r="735" spans="1:4">
      <c r="A735" s="3"/>
      <c r="D735" s="3"/>
    </row>
    <row r="736" spans="1:4">
      <c r="A736" s="3"/>
      <c r="D736" s="3"/>
    </row>
    <row r="737" spans="1:4">
      <c r="A737" s="3"/>
      <c r="D737" s="3"/>
    </row>
    <row r="738" spans="1:4">
      <c r="A738" s="3"/>
      <c r="D738" s="3"/>
    </row>
    <row r="739" spans="1:4">
      <c r="A739" s="3"/>
      <c r="D739" s="3"/>
    </row>
    <row r="740" spans="1:4">
      <c r="A740" s="3"/>
      <c r="D740" s="3"/>
    </row>
    <row r="741" spans="1:4">
      <c r="A741" s="3"/>
      <c r="D741" s="3"/>
    </row>
    <row r="742" spans="1:4">
      <c r="A742" s="3"/>
      <c r="D742" s="3"/>
    </row>
    <row r="743" spans="1:4">
      <c r="A743" s="3"/>
      <c r="D743" s="3"/>
    </row>
    <row r="744" spans="1:4">
      <c r="A744" s="3"/>
      <c r="D744" s="3"/>
    </row>
    <row r="745" spans="1:4">
      <c r="A745" s="3"/>
      <c r="D745" s="3"/>
    </row>
    <row r="746" spans="1:4">
      <c r="A746" s="3"/>
      <c r="D746" s="3"/>
    </row>
    <row r="747" spans="1:4">
      <c r="A747" s="3"/>
      <c r="D747" s="3"/>
    </row>
    <row r="748" spans="1:4">
      <c r="A748" s="3"/>
      <c r="D748" s="3"/>
    </row>
    <row r="749" spans="1:4">
      <c r="A749" s="3"/>
      <c r="D749" s="3"/>
    </row>
    <row r="750" spans="1:4">
      <c r="A750" s="3"/>
      <c r="D750" s="3"/>
    </row>
    <row r="751" spans="1:4">
      <c r="A751" s="3"/>
      <c r="D751" s="3"/>
    </row>
    <row r="752" spans="1:4">
      <c r="A752" s="3"/>
      <c r="D752" s="3"/>
    </row>
    <row r="753" spans="1:4">
      <c r="A753" s="3"/>
      <c r="D753" s="3"/>
    </row>
    <row r="754" spans="1:4">
      <c r="A754" s="3"/>
      <c r="D754" s="3"/>
    </row>
    <row r="755" spans="1:4">
      <c r="A755" s="3"/>
      <c r="D755" s="3"/>
    </row>
    <row r="756" spans="1:4">
      <c r="A756" s="3"/>
      <c r="D756" s="3"/>
    </row>
    <row r="757" spans="1:4">
      <c r="A757" s="3"/>
      <c r="D757" s="3"/>
    </row>
    <row r="758" spans="1:4">
      <c r="A758" s="3"/>
      <c r="D758" s="3"/>
    </row>
    <row r="759" spans="1:4">
      <c r="A759" s="3"/>
      <c r="D759" s="3"/>
    </row>
    <row r="760" spans="1:4">
      <c r="A760" s="3"/>
      <c r="D760" s="3"/>
    </row>
    <row r="761" spans="1:4">
      <c r="A761" s="3"/>
      <c r="D761" s="3"/>
    </row>
    <row r="762" spans="1:4">
      <c r="A762" s="3"/>
      <c r="D762" s="3"/>
    </row>
    <row r="763" spans="1:4">
      <c r="A763" s="3"/>
      <c r="D763" s="3"/>
    </row>
    <row r="764" spans="1:4">
      <c r="A764" s="3"/>
      <c r="D764" s="3"/>
    </row>
    <row r="765" spans="1:4">
      <c r="A765" s="3"/>
      <c r="D765" s="3"/>
    </row>
    <row r="766" spans="1:4">
      <c r="A766" s="3"/>
      <c r="D766" s="3"/>
    </row>
    <row r="767" spans="1:4">
      <c r="A767" s="3"/>
      <c r="D767" s="3"/>
    </row>
    <row r="768" spans="1:4">
      <c r="A768" s="3"/>
      <c r="D768" s="3"/>
    </row>
    <row r="769" spans="1:4">
      <c r="A769" s="3"/>
      <c r="D769" s="3"/>
    </row>
    <row r="770" spans="1:4">
      <c r="A770" s="3"/>
      <c r="D770" s="3"/>
    </row>
    <row r="771" spans="1:4">
      <c r="A771" s="3"/>
      <c r="D771" s="3"/>
    </row>
    <row r="772" spans="1:4">
      <c r="A772" s="3"/>
      <c r="D772" s="3"/>
    </row>
    <row r="773" spans="1:4">
      <c r="A773" s="3"/>
      <c r="D773" s="3"/>
    </row>
    <row r="774" spans="1:4">
      <c r="A774" s="3"/>
      <c r="D774" s="3"/>
    </row>
    <row r="775" spans="1:4">
      <c r="A775" s="3"/>
      <c r="D775" s="3"/>
    </row>
    <row r="776" spans="1:4">
      <c r="A776" s="3"/>
      <c r="D776" s="3"/>
    </row>
    <row r="777" spans="1:4">
      <c r="A777" s="3"/>
      <c r="D777" s="3"/>
    </row>
    <row r="778" spans="1:4">
      <c r="A778" s="3"/>
      <c r="D778" s="3"/>
    </row>
    <row r="779" spans="1:4">
      <c r="A779" s="3"/>
      <c r="D779" s="3"/>
    </row>
    <row r="780" spans="1:4">
      <c r="A780" s="3"/>
      <c r="D780" s="3"/>
    </row>
    <row r="781" spans="1:4">
      <c r="A781" s="3"/>
      <c r="D781" s="3"/>
    </row>
    <row r="782" spans="1:4">
      <c r="A782" s="3"/>
      <c r="D782" s="3"/>
    </row>
    <row r="783" spans="1:4">
      <c r="A783" s="3"/>
      <c r="D783" s="3"/>
    </row>
    <row r="784" spans="1:4">
      <c r="A784" s="3"/>
      <c r="D784" s="3"/>
    </row>
    <row r="785" spans="1:4">
      <c r="A785" s="3"/>
      <c r="D785" s="3"/>
    </row>
    <row r="786" spans="1:4">
      <c r="A786" s="3"/>
      <c r="D786" s="3"/>
    </row>
    <row r="787" spans="1:4">
      <c r="A787" s="3"/>
      <c r="D787" s="3"/>
    </row>
    <row r="788" spans="1:4">
      <c r="A788" s="3"/>
      <c r="D788" s="3"/>
    </row>
    <row r="789" spans="1:4">
      <c r="A789" s="3"/>
      <c r="D789" s="3"/>
    </row>
    <row r="790" spans="1:4">
      <c r="A790" s="3"/>
      <c r="D790" s="3"/>
    </row>
    <row r="791" spans="1:4">
      <c r="A791" s="3"/>
      <c r="D791" s="3"/>
    </row>
    <row r="792" spans="1:4">
      <c r="A792" s="3"/>
      <c r="D792" s="3"/>
    </row>
    <row r="793" spans="1:4">
      <c r="A793" s="3"/>
      <c r="D793" s="3"/>
    </row>
    <row r="794" spans="1:4">
      <c r="A794" s="3"/>
      <c r="D794" s="3"/>
    </row>
    <row r="795" spans="1:4">
      <c r="A795" s="3"/>
      <c r="D795" s="3"/>
    </row>
    <row r="796" spans="1:4">
      <c r="A796" s="3"/>
      <c r="D796" s="3"/>
    </row>
    <row r="797" spans="1:4">
      <c r="A797" s="3"/>
      <c r="D797" s="3"/>
    </row>
    <row r="798" spans="1:4">
      <c r="A798" s="3"/>
      <c r="D798" s="3"/>
    </row>
    <row r="799" spans="1:4">
      <c r="A799" s="3"/>
      <c r="D799" s="3"/>
    </row>
    <row r="800" spans="1:4">
      <c r="A800" s="3"/>
      <c r="D800" s="3"/>
    </row>
    <row r="801" spans="1:4">
      <c r="A801" s="3"/>
      <c r="D801" s="3"/>
    </row>
    <row r="802" spans="1:4">
      <c r="A802" s="3"/>
      <c r="D802" s="3"/>
    </row>
    <row r="803" spans="1:4">
      <c r="A803" s="3"/>
      <c r="D803" s="3"/>
    </row>
    <row r="804" spans="1:4">
      <c r="A804" s="3"/>
      <c r="D804" s="3"/>
    </row>
    <row r="805" spans="1:4">
      <c r="A805" s="3"/>
      <c r="D805" s="3"/>
    </row>
    <row r="806" spans="1:4">
      <c r="A806" s="3"/>
      <c r="D806" s="3"/>
    </row>
    <row r="807" spans="1:4">
      <c r="A807" s="3"/>
      <c r="D807" s="3"/>
    </row>
    <row r="808" spans="1:4">
      <c r="A808" s="3"/>
      <c r="D808" s="3"/>
    </row>
    <row r="809" spans="1:4">
      <c r="A809" s="3"/>
      <c r="D809" s="3"/>
    </row>
    <row r="810" spans="1:4">
      <c r="A810" s="3"/>
      <c r="D810" s="3"/>
    </row>
    <row r="811" spans="1:4">
      <c r="A811" s="3"/>
      <c r="D811" s="3"/>
    </row>
    <row r="812" spans="1:4">
      <c r="A812" s="3"/>
      <c r="D812" s="3"/>
    </row>
    <row r="813" spans="1:4">
      <c r="A813" s="3"/>
      <c r="D813" s="3"/>
    </row>
    <row r="814" spans="1:4">
      <c r="A814" s="3"/>
      <c r="D814" s="3"/>
    </row>
    <row r="815" spans="1:4">
      <c r="A815" s="3"/>
      <c r="D815" s="3"/>
    </row>
    <row r="816" spans="1:4">
      <c r="A816" s="3"/>
      <c r="D816" s="3"/>
    </row>
    <row r="817" spans="1:4">
      <c r="A817" s="3"/>
      <c r="D817" s="3"/>
    </row>
    <row r="818" spans="1:4">
      <c r="A818" s="3"/>
      <c r="D818" s="3"/>
    </row>
    <row r="819" spans="1:4">
      <c r="A819" s="3"/>
      <c r="D819" s="3"/>
    </row>
    <row r="820" spans="1:4">
      <c r="A820" s="3"/>
      <c r="D820" s="3"/>
    </row>
    <row r="821" spans="1:4">
      <c r="A821" s="3"/>
      <c r="D821" s="3"/>
    </row>
    <row r="822" spans="1:4">
      <c r="A822" s="3"/>
      <c r="D822" s="3"/>
    </row>
    <row r="823" spans="1:4">
      <c r="A823" s="3"/>
      <c r="D823" s="3"/>
    </row>
    <row r="824" spans="1:4">
      <c r="A824" s="3"/>
      <c r="D824" s="3"/>
    </row>
    <row r="825" spans="1:4">
      <c r="A825" s="3"/>
      <c r="D825" s="3"/>
    </row>
    <row r="826" spans="1:4">
      <c r="A826" s="3"/>
      <c r="D826" s="3"/>
    </row>
    <row r="827" spans="1:4">
      <c r="A827" s="3"/>
      <c r="D827" s="3"/>
    </row>
    <row r="828" spans="1:4">
      <c r="A828" s="3"/>
      <c r="D828" s="3"/>
    </row>
    <row r="829" spans="1:4">
      <c r="A829" s="3"/>
      <c r="D829" s="3"/>
    </row>
    <row r="830" spans="1:4">
      <c r="A830" s="3"/>
      <c r="D830" s="3"/>
    </row>
    <row r="831" spans="1:4">
      <c r="A831" s="3"/>
      <c r="D831" s="3"/>
    </row>
    <row r="832" spans="1:4">
      <c r="A832" s="3"/>
      <c r="D832" s="3"/>
    </row>
    <row r="833" spans="1:4">
      <c r="A833" s="3"/>
      <c r="D833" s="3"/>
    </row>
    <row r="834" spans="1:4">
      <c r="A834" s="3"/>
      <c r="D834" s="3"/>
    </row>
    <row r="835" spans="1:4">
      <c r="A835" s="3"/>
      <c r="D835" s="3"/>
    </row>
    <row r="836" spans="1:4">
      <c r="A836" s="3"/>
      <c r="D836" s="3"/>
    </row>
    <row r="837" spans="1:4">
      <c r="A837" s="3"/>
      <c r="D837" s="3"/>
    </row>
    <row r="838" spans="1:4">
      <c r="A838" s="3"/>
      <c r="D838" s="3"/>
    </row>
    <row r="839" spans="1:4">
      <c r="A839" s="3"/>
      <c r="D839" s="3"/>
    </row>
    <row r="840" spans="1:4">
      <c r="A840" s="3"/>
      <c r="D840" s="3"/>
    </row>
    <row r="841" spans="1:4">
      <c r="A841" s="3"/>
      <c r="D841" s="3"/>
    </row>
    <row r="842" spans="1:4">
      <c r="A842" s="3"/>
      <c r="D842" s="3"/>
    </row>
    <row r="843" spans="1:4">
      <c r="A843" s="3"/>
      <c r="D843" s="3"/>
    </row>
    <row r="844" spans="1:4">
      <c r="A844" s="3"/>
      <c r="D844" s="3"/>
    </row>
    <row r="845" spans="1:4">
      <c r="A845" s="3"/>
      <c r="D845" s="3"/>
    </row>
    <row r="846" spans="1:4">
      <c r="A846" s="3"/>
      <c r="D846" s="3"/>
    </row>
    <row r="847" spans="1:4">
      <c r="A847" s="3"/>
      <c r="D847" s="3"/>
    </row>
    <row r="848" spans="1:4">
      <c r="A848" s="3"/>
      <c r="D848" s="3"/>
    </row>
    <row r="849" spans="1:4">
      <c r="A849" s="3"/>
      <c r="D849" s="3"/>
    </row>
    <row r="850" spans="1:4">
      <c r="A850" s="3"/>
      <c r="D850" s="3"/>
    </row>
    <row r="851" spans="1:4">
      <c r="A851" s="3"/>
      <c r="D851" s="3"/>
    </row>
    <row r="852" spans="1:4">
      <c r="A852" s="3"/>
      <c r="D852" s="3"/>
    </row>
    <row r="853" spans="1:4">
      <c r="A853" s="3"/>
      <c r="D853" s="3"/>
    </row>
    <row r="854" spans="1:4">
      <c r="A854" s="3"/>
      <c r="D854" s="3"/>
    </row>
    <row r="855" spans="1:4">
      <c r="A855" s="3"/>
      <c r="D855" s="3"/>
    </row>
    <row r="856" spans="1:4">
      <c r="A856" s="3"/>
      <c r="D856" s="3"/>
    </row>
    <row r="857" spans="1:4">
      <c r="A857" s="3"/>
      <c r="D857" s="3"/>
    </row>
    <row r="858" spans="1:4">
      <c r="A858" s="3"/>
      <c r="D858" s="3"/>
    </row>
    <row r="859" spans="1:4">
      <c r="A859" s="3"/>
      <c r="D859" s="3"/>
    </row>
    <row r="860" spans="1:4">
      <c r="A860" s="3"/>
      <c r="D860" s="3"/>
    </row>
    <row r="861" spans="1:4">
      <c r="A861" s="3"/>
      <c r="D861" s="3"/>
    </row>
    <row r="862" spans="1:4">
      <c r="A862" s="3"/>
      <c r="D862" s="3"/>
    </row>
    <row r="863" spans="1:4">
      <c r="A863" s="3"/>
      <c r="D863" s="3"/>
    </row>
    <row r="864" spans="1:4">
      <c r="A864" s="3"/>
      <c r="D864" s="3"/>
    </row>
    <row r="865" spans="1:4">
      <c r="A865" s="3"/>
      <c r="D865" s="3"/>
    </row>
    <row r="866" spans="1:4">
      <c r="A866" s="3"/>
      <c r="D866" s="3"/>
    </row>
    <row r="867" spans="1:4">
      <c r="A867" s="3"/>
      <c r="D867" s="3"/>
    </row>
    <row r="868" spans="1:4">
      <c r="A868" s="3"/>
      <c r="D868" s="3"/>
    </row>
    <row r="869" spans="1:4">
      <c r="A869" s="3"/>
      <c r="D869" s="3"/>
    </row>
    <row r="870" spans="1:4">
      <c r="A870" s="3"/>
      <c r="D870" s="3"/>
    </row>
    <row r="871" spans="1:4">
      <c r="A871" s="3"/>
      <c r="D871" s="3"/>
    </row>
    <row r="872" spans="1:4">
      <c r="A872" s="3"/>
      <c r="D872" s="3"/>
    </row>
    <row r="873" spans="1:4">
      <c r="A873" s="3"/>
      <c r="D873" s="3"/>
    </row>
    <row r="874" spans="1:4">
      <c r="A874" s="3"/>
      <c r="D874" s="3"/>
    </row>
    <row r="875" spans="1:4">
      <c r="A875" s="3"/>
      <c r="D875" s="3"/>
    </row>
    <row r="876" spans="1:4">
      <c r="A876" s="3"/>
      <c r="D876" s="3"/>
    </row>
    <row r="877" spans="1:4">
      <c r="A877" s="3"/>
      <c r="D877" s="3"/>
    </row>
    <row r="878" spans="1:4">
      <c r="A878" s="3"/>
      <c r="D878" s="3"/>
    </row>
    <row r="879" spans="1:4">
      <c r="A879" s="3"/>
      <c r="D879" s="3"/>
    </row>
    <row r="880" spans="1:4">
      <c r="A880" s="3"/>
      <c r="D880" s="3"/>
    </row>
    <row r="881" spans="1:4">
      <c r="A881" s="3"/>
      <c r="D881" s="3"/>
    </row>
    <row r="882" spans="1:4">
      <c r="A882" s="3"/>
      <c r="D882" s="3"/>
    </row>
    <row r="883" spans="1:4">
      <c r="A883" s="3"/>
      <c r="D883" s="3"/>
    </row>
    <row r="884" spans="1:4">
      <c r="A884" s="3"/>
      <c r="D884" s="3"/>
    </row>
    <row r="885" spans="1:4">
      <c r="A885" s="3"/>
      <c r="D885" s="3"/>
    </row>
    <row r="886" spans="1:4">
      <c r="A886" s="3"/>
      <c r="D886" s="3"/>
    </row>
    <row r="887" spans="1:4">
      <c r="A887" s="3"/>
      <c r="D887" s="3"/>
    </row>
    <row r="888" spans="1:4">
      <c r="A888" s="3"/>
      <c r="D888" s="3"/>
    </row>
    <row r="889" spans="1:4">
      <c r="A889" s="3"/>
      <c r="D889" s="3"/>
    </row>
    <row r="890" spans="1:4">
      <c r="A890" s="3"/>
      <c r="D890" s="3"/>
    </row>
    <row r="891" spans="1:4">
      <c r="A891" s="3"/>
      <c r="D891" s="3"/>
    </row>
    <row r="892" spans="1:4">
      <c r="A892" s="3"/>
      <c r="D892" s="3"/>
    </row>
    <row r="893" spans="1:4">
      <c r="A893" s="3"/>
      <c r="D893" s="3"/>
    </row>
    <row r="894" spans="1:4">
      <c r="A894" s="3"/>
      <c r="D894" s="3"/>
    </row>
    <row r="895" spans="1:4">
      <c r="A895" s="3"/>
      <c r="D895" s="3"/>
    </row>
    <row r="896" spans="1:4">
      <c r="A896" s="3"/>
      <c r="D896" s="3"/>
    </row>
    <row r="897" spans="1:4">
      <c r="A897" s="3"/>
      <c r="D897" s="3"/>
    </row>
    <row r="898" spans="1:4">
      <c r="A898" s="3"/>
      <c r="D898" s="3"/>
    </row>
    <row r="899" spans="1:4">
      <c r="A899" s="3"/>
      <c r="D899" s="3"/>
    </row>
    <row r="900" spans="1:4">
      <c r="A900" s="3"/>
      <c r="D900" s="3"/>
    </row>
    <row r="901" spans="1:4">
      <c r="A901" s="3"/>
      <c r="D901" s="3"/>
    </row>
    <row r="902" spans="1:4">
      <c r="A902" s="3"/>
      <c r="D902" s="3"/>
    </row>
    <row r="903" spans="1:4">
      <c r="A903" s="3"/>
      <c r="D903" s="3"/>
    </row>
    <row r="904" spans="1:4">
      <c r="A904" s="3"/>
      <c r="D904" s="3"/>
    </row>
    <row r="905" spans="1:4">
      <c r="A905" s="3"/>
      <c r="D905" s="3"/>
    </row>
    <row r="906" spans="1:4">
      <c r="A906" s="3"/>
      <c r="D906" s="3"/>
    </row>
    <row r="907" spans="1:4">
      <c r="A907" s="3"/>
      <c r="D907" s="3"/>
    </row>
    <row r="908" spans="1:4">
      <c r="A908" s="3"/>
      <c r="D908" s="3"/>
    </row>
    <row r="909" spans="1:4">
      <c r="A909" s="3"/>
      <c r="D909" s="3"/>
    </row>
    <row r="910" spans="1:4">
      <c r="A910" s="3"/>
      <c r="D910" s="3"/>
    </row>
    <row r="911" spans="1:4">
      <c r="A911" s="3"/>
      <c r="D911" s="3"/>
    </row>
    <row r="912" spans="1:4">
      <c r="A912" s="3"/>
      <c r="D912" s="3"/>
    </row>
    <row r="913" spans="1:4">
      <c r="A913" s="3"/>
      <c r="D913" s="3"/>
    </row>
    <row r="914" spans="1:4">
      <c r="A914" s="3"/>
      <c r="D914" s="3"/>
    </row>
    <row r="915" spans="1:4">
      <c r="A915" s="3"/>
      <c r="D915" s="3"/>
    </row>
    <row r="916" spans="1:4">
      <c r="A916" s="3"/>
      <c r="D916" s="3"/>
    </row>
    <row r="917" spans="1:4">
      <c r="A917" s="3"/>
      <c r="D917" s="3"/>
    </row>
    <row r="918" spans="1:4">
      <c r="A918" s="3"/>
      <c r="D918" s="3"/>
    </row>
    <row r="919" spans="1:4">
      <c r="A919" s="3"/>
      <c r="D919" s="3"/>
    </row>
    <row r="920" spans="1:4">
      <c r="A920" s="3"/>
      <c r="D920" s="3"/>
    </row>
    <row r="921" spans="1:4">
      <c r="A921" s="3"/>
      <c r="D921" s="3"/>
    </row>
    <row r="922" spans="1:4">
      <c r="A922" s="3"/>
      <c r="D922" s="3"/>
    </row>
    <row r="923" spans="1:4">
      <c r="A923" s="3"/>
      <c r="D923" s="3"/>
    </row>
    <row r="924" spans="1:4">
      <c r="A924" s="3"/>
      <c r="D924" s="3"/>
    </row>
    <row r="925" spans="1:4">
      <c r="A925" s="3"/>
      <c r="D925" s="3"/>
    </row>
    <row r="926" spans="1:4">
      <c r="A926" s="3"/>
      <c r="D926" s="3"/>
    </row>
    <row r="927" spans="1:4">
      <c r="A927" s="3"/>
      <c r="D927" s="3"/>
    </row>
    <row r="928" spans="1:4">
      <c r="A928" s="3"/>
      <c r="D928" s="3"/>
    </row>
    <row r="929" spans="1:4">
      <c r="A929" s="3"/>
      <c r="D929" s="3"/>
    </row>
    <row r="930" spans="1:4">
      <c r="A930" s="3"/>
      <c r="D930" s="3"/>
    </row>
    <row r="931" spans="1:4">
      <c r="A931" s="3"/>
      <c r="D931" s="3"/>
    </row>
    <row r="932" spans="1:4">
      <c r="A932" s="3"/>
      <c r="D932" s="3"/>
    </row>
    <row r="933" spans="1:4">
      <c r="A933" s="3"/>
      <c r="D933" s="3"/>
    </row>
    <row r="934" spans="1:4">
      <c r="A934" s="3"/>
      <c r="D934" s="3"/>
    </row>
    <row r="935" spans="1:4">
      <c r="A935" s="3"/>
      <c r="D935" s="3"/>
    </row>
    <row r="936" spans="1:4">
      <c r="A936" s="3"/>
      <c r="D936" s="3"/>
    </row>
    <row r="937" spans="1:4">
      <c r="A937" s="3"/>
      <c r="D937" s="3"/>
    </row>
    <row r="938" spans="1:4">
      <c r="A938" s="3"/>
      <c r="D938" s="3"/>
    </row>
    <row r="939" spans="1:4">
      <c r="A939" s="3"/>
      <c r="D939" s="3"/>
    </row>
    <row r="940" spans="1:4">
      <c r="A940" s="3"/>
      <c r="D940" s="3"/>
    </row>
    <row r="941" spans="1:4">
      <c r="A941" s="3"/>
      <c r="D941" s="3"/>
    </row>
    <row r="942" spans="1:4">
      <c r="A942" s="3"/>
      <c r="D942" s="3"/>
    </row>
    <row r="943" spans="1:4">
      <c r="A943" s="3"/>
      <c r="D943" s="3"/>
    </row>
    <row r="944" spans="1:4">
      <c r="A944" s="3"/>
      <c r="D944" s="3"/>
    </row>
    <row r="945" spans="1:4">
      <c r="A945" s="3"/>
      <c r="D945" s="3"/>
    </row>
    <row r="946" spans="1:4">
      <c r="A946" s="3"/>
      <c r="D946" s="3"/>
    </row>
    <row r="947" spans="1:4">
      <c r="A947" s="3"/>
      <c r="D947" s="3"/>
    </row>
    <row r="948" spans="1:4">
      <c r="A948" s="3"/>
      <c r="D948" s="3"/>
    </row>
    <row r="949" spans="1:4">
      <c r="A949" s="3"/>
      <c r="D949" s="3"/>
    </row>
    <row r="950" spans="1:4">
      <c r="A950" s="3"/>
      <c r="D950" s="3"/>
    </row>
    <row r="951" spans="1:4">
      <c r="A951" s="3"/>
      <c r="D951" s="3"/>
    </row>
    <row r="952" spans="1:4">
      <c r="A952" s="3"/>
      <c r="D952" s="3"/>
    </row>
    <row r="953" spans="1:4">
      <c r="A953" s="3"/>
      <c r="D953" s="3"/>
    </row>
    <row r="954" spans="1:4">
      <c r="A954" s="3"/>
      <c r="D954" s="3"/>
    </row>
    <row r="955" spans="1:4">
      <c r="A955" s="3"/>
      <c r="D955" s="3"/>
    </row>
    <row r="956" spans="1:4">
      <c r="A956" s="3"/>
      <c r="D956" s="3"/>
    </row>
    <row r="957" spans="1:4">
      <c r="A957" s="3"/>
      <c r="D957" s="3"/>
    </row>
    <row r="958" spans="1:4">
      <c r="A958" s="3"/>
      <c r="D958" s="3"/>
    </row>
    <row r="959" spans="1:4">
      <c r="A959" s="3"/>
      <c r="D959" s="3"/>
    </row>
    <row r="960" spans="1:4">
      <c r="A960" s="3"/>
      <c r="D960" s="3"/>
    </row>
    <row r="961" spans="1:4">
      <c r="A961" s="3"/>
      <c r="D961" s="3"/>
    </row>
    <row r="962" spans="1:4">
      <c r="A962" s="3"/>
      <c r="D962" s="3"/>
    </row>
    <row r="963" spans="1:4">
      <c r="A963" s="3"/>
      <c r="D963" s="3"/>
    </row>
    <row r="964" spans="1:4">
      <c r="A964" s="3"/>
      <c r="D964" s="3"/>
    </row>
    <row r="965" spans="1:4">
      <c r="A965" s="3"/>
      <c r="D965" s="3"/>
    </row>
    <row r="966" spans="1:4">
      <c r="A966" s="3"/>
      <c r="D966" s="3"/>
    </row>
    <row r="967" spans="1:4">
      <c r="A967" s="3"/>
      <c r="D967" s="3"/>
    </row>
    <row r="968" spans="1:4">
      <c r="A968" s="3"/>
      <c r="D968" s="3"/>
    </row>
    <row r="969" spans="1:4">
      <c r="A969" s="3"/>
      <c r="D969" s="3"/>
    </row>
    <row r="970" spans="1:4">
      <c r="A970" s="3"/>
      <c r="D970" s="3"/>
    </row>
    <row r="971" spans="1:4">
      <c r="A971" s="3"/>
      <c r="D971" s="3"/>
    </row>
    <row r="972" spans="1:4">
      <c r="A972" s="3"/>
      <c r="D972" s="3"/>
    </row>
    <row r="973" spans="1:4">
      <c r="A973" s="3"/>
      <c r="D973" s="3"/>
    </row>
    <row r="974" spans="1:4">
      <c r="A974" s="3"/>
      <c r="D974" s="3"/>
    </row>
    <row r="975" spans="1:4">
      <c r="A975" s="3"/>
      <c r="D975" s="3"/>
    </row>
    <row r="976" spans="1:4">
      <c r="A976" s="3"/>
      <c r="D976" s="3"/>
    </row>
    <row r="977" spans="1:4">
      <c r="A977" s="3"/>
      <c r="D977" s="3"/>
    </row>
    <row r="978" spans="1:4">
      <c r="A978" s="3"/>
      <c r="D978" s="3"/>
    </row>
    <row r="979" spans="1:4">
      <c r="A979" s="3"/>
      <c r="D979" s="3"/>
    </row>
    <row r="980" spans="1:4">
      <c r="A980" s="3"/>
      <c r="D980" s="3"/>
    </row>
    <row r="981" spans="1:4">
      <c r="A981" s="3"/>
      <c r="D981" s="3"/>
    </row>
    <row r="982" spans="1:4">
      <c r="A982" s="3"/>
      <c r="D982" s="3"/>
    </row>
    <row r="983" spans="1:4">
      <c r="A983" s="3"/>
      <c r="D983" s="3"/>
    </row>
    <row r="984" spans="1:4">
      <c r="A984" s="3"/>
      <c r="D984" s="3"/>
    </row>
    <row r="985" spans="1:4">
      <c r="A985" s="3"/>
      <c r="D985" s="3"/>
    </row>
    <row r="986" spans="1:4">
      <c r="A986" s="3"/>
      <c r="D986" s="3"/>
    </row>
    <row r="987" spans="1:4">
      <c r="A987" s="3"/>
      <c r="D987" s="3"/>
    </row>
    <row r="988" spans="1:4">
      <c r="A988" s="3"/>
      <c r="D988" s="3"/>
    </row>
    <row r="989" spans="1:4">
      <c r="A989" s="3"/>
      <c r="D989" s="3"/>
    </row>
    <row r="990" spans="1:4">
      <c r="A990" s="3"/>
      <c r="D990" s="3"/>
    </row>
    <row r="991" spans="1:4">
      <c r="A991" s="3"/>
      <c r="D991" s="3"/>
    </row>
    <row r="992" spans="1:4">
      <c r="A992" s="3"/>
      <c r="D992" s="3"/>
    </row>
    <row r="993" spans="1:4">
      <c r="A993" s="3"/>
      <c r="D993" s="3"/>
    </row>
    <row r="994" spans="1:4">
      <c r="A994" s="3"/>
      <c r="D994" s="3"/>
    </row>
    <row r="995" spans="1:4">
      <c r="A995" s="3"/>
      <c r="D995" s="3"/>
    </row>
    <row r="996" spans="1:4">
      <c r="A996" s="3"/>
      <c r="D996" s="3"/>
    </row>
    <row r="997" spans="1:4">
      <c r="A997" s="3"/>
      <c r="D997" s="3"/>
    </row>
    <row r="998" spans="1:4">
      <c r="A998" s="3"/>
      <c r="D998" s="3"/>
    </row>
    <row r="999" spans="1:4">
      <c r="A999" s="3"/>
      <c r="D999" s="3"/>
    </row>
    <row r="1000" spans="1:4">
      <c r="A1000" s="3"/>
      <c r="D1000" s="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4:D8"/>
  <sheetViews>
    <sheetView workbookViewId="0"/>
  </sheetViews>
  <sheetFormatPr defaultColWidth="14.42578125" defaultRowHeight="15.75" customHeight="1"/>
  <cols>
    <col min="1" max="1" width="18.28515625" customWidth="1"/>
    <col min="2" max="2" width="9.140625" customWidth="1"/>
    <col min="4" max="4" width="41.28515625" customWidth="1"/>
  </cols>
  <sheetData>
    <row r="4" spans="1:4">
      <c r="A4" s="4" t="s">
        <v>93</v>
      </c>
      <c r="B4" s="13">
        <v>0.1</v>
      </c>
      <c r="C4" s="4" t="s">
        <v>94</v>
      </c>
    </row>
    <row r="5" spans="1:4">
      <c r="A5" s="4" t="s">
        <v>95</v>
      </c>
      <c r="B5" s="13">
        <v>0.2</v>
      </c>
      <c r="C5" s="4">
        <f>B5/100</f>
        <v>2E-3</v>
      </c>
    </row>
    <row r="6" spans="1:4">
      <c r="A6" s="4" t="s">
        <v>96</v>
      </c>
      <c r="B6" s="4">
        <v>1.3</v>
      </c>
    </row>
    <row r="7" spans="1:4">
      <c r="A7" s="4" t="s">
        <v>97</v>
      </c>
      <c r="B7" s="13">
        <v>0.02</v>
      </c>
      <c r="C7" s="4" t="s">
        <v>98</v>
      </c>
      <c r="D7" s="4" t="s">
        <v>99</v>
      </c>
    </row>
    <row r="8" spans="1:4">
      <c r="A8" s="4" t="s">
        <v>100</v>
      </c>
      <c r="B8" s="13">
        <f>B7+(B6*(B4-B7))+B5</f>
        <v>0.32400000000000001</v>
      </c>
      <c r="D8" s="4" t="s">
        <v>101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P22"/>
  <sheetViews>
    <sheetView topLeftCell="A4" workbookViewId="0">
      <selection activeCell="H19" sqref="H19"/>
    </sheetView>
  </sheetViews>
  <sheetFormatPr defaultColWidth="14.42578125" defaultRowHeight="15.75" customHeight="1"/>
  <cols>
    <col min="7" max="7" width="17.28515625" customWidth="1"/>
    <col min="9" max="9" width="19.5703125" customWidth="1"/>
    <col min="10" max="10" width="16.85546875" customWidth="1"/>
    <col min="11" max="11" width="20.7109375" customWidth="1"/>
  </cols>
  <sheetData>
    <row r="1" spans="1:16" ht="13.5" thickBot="1">
      <c r="A1" s="869" t="s">
        <v>102</v>
      </c>
      <c r="B1" s="870">
        <v>0.50070000000000003</v>
      </c>
      <c r="C1" s="871" t="s">
        <v>3</v>
      </c>
      <c r="D1" s="1612" t="s">
        <v>103</v>
      </c>
      <c r="E1" s="1613"/>
      <c r="F1" s="1613"/>
      <c r="G1" s="1613"/>
      <c r="H1" s="1614"/>
      <c r="I1" s="186" t="s">
        <v>297</v>
      </c>
      <c r="J1" s="186" t="s">
        <v>291</v>
      </c>
    </row>
    <row r="2" spans="1:16" ht="12.75">
      <c r="A2" s="867" t="s">
        <v>104</v>
      </c>
      <c r="B2" s="868">
        <v>3</v>
      </c>
      <c r="D2" s="24" t="s">
        <v>105</v>
      </c>
      <c r="E2" s="24" t="s">
        <v>106</v>
      </c>
      <c r="F2" s="24" t="s">
        <v>102</v>
      </c>
      <c r="G2" s="24" t="s">
        <v>53</v>
      </c>
      <c r="H2" s="24" t="s">
        <v>107</v>
      </c>
      <c r="J2" s="225" t="s">
        <v>293</v>
      </c>
      <c r="K2" s="226" t="s">
        <v>292</v>
      </c>
      <c r="L2" s="193"/>
    </row>
    <row r="3" spans="1:16" ht="12.75">
      <c r="D3" s="25">
        <v>0</v>
      </c>
      <c r="E3" s="26"/>
      <c r="F3" s="26"/>
      <c r="G3" s="26"/>
      <c r="H3" s="26">
        <v>25000000</v>
      </c>
      <c r="J3" s="228" t="s">
        <v>294</v>
      </c>
      <c r="K3" s="229" t="s">
        <v>295</v>
      </c>
    </row>
    <row r="4" spans="1:16" ht="13.5" thickBot="1">
      <c r="D4" s="25">
        <v>1</v>
      </c>
      <c r="E4" s="26">
        <f>$H$3*($B$1/((1-(1+$B$1)^-$B$2)))</f>
        <v>17777556.687125951</v>
      </c>
      <c r="F4" s="26">
        <f>H3*$B$1</f>
        <v>12517500</v>
      </c>
      <c r="G4" s="26">
        <f>E4-F4</f>
        <v>5260056.6871259511</v>
      </c>
      <c r="H4" s="26">
        <f>H3-G4</f>
        <v>19739943.312874049</v>
      </c>
      <c r="J4" s="224" t="s">
        <v>38</v>
      </c>
      <c r="K4" s="186" t="s">
        <v>296</v>
      </c>
    </row>
    <row r="5" spans="1:16" ht="12.75">
      <c r="D5" s="25">
        <v>2</v>
      </c>
      <c r="E5" s="26">
        <f>$H$3*($B$1/((1-(1+$B$1)^-$B$2)))</f>
        <v>17777556.687125951</v>
      </c>
      <c r="F5" s="26">
        <f>H4*$B$1</f>
        <v>9883789.6167560369</v>
      </c>
      <c r="G5" s="26">
        <f>E5-F5</f>
        <v>7893767.0703699142</v>
      </c>
      <c r="H5" s="211">
        <f>H4-G5</f>
        <v>11846176.242504135</v>
      </c>
      <c r="I5" s="213"/>
      <c r="J5" s="214" t="s">
        <v>3</v>
      </c>
      <c r="K5" s="215"/>
      <c r="M5" s="225" t="s">
        <v>293</v>
      </c>
      <c r="N5" s="228" t="s">
        <v>294</v>
      </c>
      <c r="O5" s="186" t="s">
        <v>53</v>
      </c>
      <c r="P5" s="26">
        <v>15000</v>
      </c>
    </row>
    <row r="6" spans="1:16" ht="16.5">
      <c r="D6" s="25">
        <v>3</v>
      </c>
      <c r="E6" s="26">
        <f>$H$3*($B$1/((1-(1+$B$1)^-$B$2)))</f>
        <v>17777556.687125951</v>
      </c>
      <c r="F6" s="26">
        <f>H5*$B$1</f>
        <v>5931380.4446218209</v>
      </c>
      <c r="G6" s="26">
        <f>E6-F6</f>
        <v>11846176.242504131</v>
      </c>
      <c r="H6" s="211">
        <f>H5-G6</f>
        <v>0</v>
      </c>
      <c r="I6" s="216" t="s">
        <v>59</v>
      </c>
      <c r="J6" s="250">
        <v>9684</v>
      </c>
      <c r="K6" s="217"/>
      <c r="L6">
        <v>1</v>
      </c>
      <c r="M6" s="227">
        <f>$H$3*($B$1/(1-(1+$B$1)^-$B$2))</f>
        <v>17777556.687125951</v>
      </c>
      <c r="N6" s="230">
        <f>$H$3*$B$1</f>
        <v>12517500</v>
      </c>
      <c r="O6" s="231">
        <f>M6-N6</f>
        <v>5260056.6871259511</v>
      </c>
      <c r="P6" s="231">
        <f>P5-O6</f>
        <v>-5245056.6871259511</v>
      </c>
    </row>
    <row r="7" spans="1:16" ht="15.75" customHeight="1">
      <c r="I7" s="216" t="s">
        <v>0</v>
      </c>
      <c r="J7" s="208">
        <v>0.06</v>
      </c>
      <c r="K7" s="217"/>
      <c r="L7">
        <v>2</v>
      </c>
      <c r="M7" s="227">
        <f>$H$3*($B$1/(1-(1+$B$1)^-$B$2))</f>
        <v>17777556.687125951</v>
      </c>
      <c r="N7" s="230">
        <f>H4*B1</f>
        <v>9883789.6167560369</v>
      </c>
      <c r="O7" s="231">
        <f>M7-N7</f>
        <v>7893767.0703699142</v>
      </c>
      <c r="P7" s="231">
        <f>P6-O7</f>
        <v>-13138823.757495865</v>
      </c>
    </row>
    <row r="8" spans="1:16" ht="15.75" customHeight="1">
      <c r="I8" s="216" t="s">
        <v>288</v>
      </c>
      <c r="J8" s="186">
        <v>6</v>
      </c>
      <c r="K8" s="222" t="s">
        <v>290</v>
      </c>
      <c r="L8">
        <v>3</v>
      </c>
      <c r="M8" s="227">
        <f>$H$3*($B$1/(1-(1+$B$1)^-$B$2))</f>
        <v>17777556.687125951</v>
      </c>
      <c r="N8" s="230">
        <f>H5*B1</f>
        <v>5931380.4446218209</v>
      </c>
      <c r="O8" s="231">
        <f>M8-N8</f>
        <v>11846176.242504131</v>
      </c>
      <c r="P8" s="231">
        <f>O8-P7</f>
        <v>24984999.999999996</v>
      </c>
    </row>
    <row r="9" spans="1:16" ht="12.75">
      <c r="D9" s="1615" t="s">
        <v>108</v>
      </c>
      <c r="E9" s="1613"/>
      <c r="F9" s="1613"/>
      <c r="G9" s="1613"/>
      <c r="H9" s="1613"/>
      <c r="I9" s="218"/>
      <c r="K9" s="217"/>
    </row>
    <row r="10" spans="1:16" ht="13.5" thickBot="1">
      <c r="D10" s="24" t="s">
        <v>105</v>
      </c>
      <c r="E10" s="24" t="s">
        <v>109</v>
      </c>
      <c r="F10" s="24" t="s">
        <v>102</v>
      </c>
      <c r="G10" s="24" t="s">
        <v>110</v>
      </c>
      <c r="H10" s="212" t="s">
        <v>107</v>
      </c>
      <c r="I10" s="219" t="s">
        <v>3</v>
      </c>
      <c r="J10" s="220">
        <v>0.50070000000000003</v>
      </c>
      <c r="K10" s="221">
        <f>J6*(1+J10)</f>
        <v>14532.778800000002</v>
      </c>
    </row>
    <row r="11" spans="1:16" ht="13.5" thickBot="1">
      <c r="D11" s="25">
        <v>0</v>
      </c>
      <c r="E11" s="26"/>
      <c r="F11" s="26"/>
      <c r="G11" s="26"/>
      <c r="H11" s="26">
        <v>15000</v>
      </c>
    </row>
    <row r="12" spans="1:16" ht="12.75">
      <c r="D12" s="25">
        <v>1</v>
      </c>
      <c r="E12" s="26">
        <f>F12+G12</f>
        <v>12510.5</v>
      </c>
      <c r="F12" s="26">
        <f>H11*$B$1</f>
        <v>7510.5000000000009</v>
      </c>
      <c r="G12" s="26">
        <f>$H$11/$B$2</f>
        <v>5000</v>
      </c>
      <c r="H12" s="211">
        <f>H11-G12</f>
        <v>10000</v>
      </c>
      <c r="I12" s="213"/>
      <c r="J12" s="214" t="s">
        <v>3</v>
      </c>
      <c r="K12" s="215"/>
    </row>
    <row r="13" spans="1:16" ht="12.75">
      <c r="D13" s="25">
        <v>2</v>
      </c>
      <c r="E13" s="26">
        <f>F13+G13</f>
        <v>10007</v>
      </c>
      <c r="F13" s="26">
        <f>H12*$B$1</f>
        <v>5007</v>
      </c>
      <c r="G13" s="26">
        <f>$H$11/$B$2</f>
        <v>5000</v>
      </c>
      <c r="H13" s="211">
        <f>H12-G13</f>
        <v>5000</v>
      </c>
      <c r="I13" s="216" t="s">
        <v>59</v>
      </c>
      <c r="J13">
        <v>10000</v>
      </c>
      <c r="K13" s="217"/>
    </row>
    <row r="14" spans="1:16" ht="12.75">
      <c r="D14" s="25">
        <v>3</v>
      </c>
      <c r="E14" s="26">
        <f>F14+G14</f>
        <v>7503.5</v>
      </c>
      <c r="F14" s="26">
        <f>H13*$B$1</f>
        <v>2503.5</v>
      </c>
      <c r="G14" s="26">
        <f>$H$11/$B$2</f>
        <v>5000</v>
      </c>
      <c r="H14" s="211">
        <f>H13-G14</f>
        <v>0</v>
      </c>
      <c r="I14" s="216" t="s">
        <v>0</v>
      </c>
      <c r="J14" s="208">
        <v>0.57999999999999996</v>
      </c>
      <c r="K14" s="217"/>
    </row>
    <row r="15" spans="1:16" ht="15.75" customHeight="1">
      <c r="I15" s="216" t="s">
        <v>288</v>
      </c>
      <c r="J15" s="186">
        <v>2</v>
      </c>
      <c r="K15" s="222" t="s">
        <v>289</v>
      </c>
    </row>
    <row r="16" spans="1:16" ht="15.75" customHeight="1">
      <c r="I16" s="218"/>
      <c r="K16" s="217"/>
    </row>
    <row r="17" spans="4:11" ht="13.5" thickBot="1">
      <c r="D17" s="1615" t="s">
        <v>36</v>
      </c>
      <c r="E17" s="1613"/>
      <c r="F17" s="1613"/>
      <c r="G17" s="1613"/>
      <c r="H17" s="1613"/>
      <c r="I17" s="219" t="s">
        <v>3</v>
      </c>
      <c r="J17" s="220">
        <f>((1+J14/J15)^J15)-1</f>
        <v>0.66410000000000013</v>
      </c>
      <c r="K17" s="221">
        <f>J13*(1+J17)</f>
        <v>16641</v>
      </c>
    </row>
    <row r="18" spans="4:11" ht="12.75">
      <c r="D18" s="24" t="s">
        <v>105</v>
      </c>
      <c r="E18" s="24" t="s">
        <v>109</v>
      </c>
      <c r="F18" s="24" t="s">
        <v>111</v>
      </c>
      <c r="G18" s="24" t="s">
        <v>53</v>
      </c>
      <c r="H18" s="24" t="s">
        <v>107</v>
      </c>
    </row>
    <row r="19" spans="4:11" ht="12.75">
      <c r="D19" s="25">
        <v>0</v>
      </c>
      <c r="E19" s="26"/>
      <c r="F19" s="26"/>
      <c r="G19" s="26"/>
      <c r="H19" s="26">
        <v>1950000</v>
      </c>
    </row>
    <row r="20" spans="4:11" ht="12.75">
      <c r="D20" s="25">
        <v>1</v>
      </c>
      <c r="E20" s="26">
        <f>F20+G20</f>
        <v>976365.00000000012</v>
      </c>
      <c r="F20" s="26">
        <f>H19*$B$1</f>
        <v>976365.00000000012</v>
      </c>
      <c r="G20" s="26">
        <f>IF(D20&lt;&gt;$B$2,0,$H$19)</f>
        <v>0</v>
      </c>
      <c r="H20" s="26">
        <f>H19-G20</f>
        <v>1950000</v>
      </c>
      <c r="K20">
        <f>360/60</f>
        <v>6</v>
      </c>
    </row>
    <row r="21" spans="4:11" ht="12.75">
      <c r="D21" s="25">
        <v>2</v>
      </c>
      <c r="E21" s="26">
        <f>F21+G21</f>
        <v>976365.00000000012</v>
      </c>
      <c r="F21" s="26">
        <f>H20*$B$1</f>
        <v>976365.00000000012</v>
      </c>
      <c r="G21" s="26">
        <f>IF(D21&lt;&gt;$B$2,0,$H$19)</f>
        <v>0</v>
      </c>
      <c r="H21" s="26">
        <f>H20-G21</f>
        <v>1950000</v>
      </c>
    </row>
    <row r="22" spans="4:11" ht="12.75">
      <c r="D22" s="25">
        <v>3</v>
      </c>
      <c r="E22" s="26">
        <f>F22+G22</f>
        <v>2926365</v>
      </c>
      <c r="F22" s="26">
        <f>H21*$B$1</f>
        <v>976365.00000000012</v>
      </c>
      <c r="G22" s="26">
        <f>IF(D22&lt;&gt;$B$2,0,$H$19)</f>
        <v>1950000</v>
      </c>
      <c r="H22" s="26">
        <f>H21-G22</f>
        <v>0</v>
      </c>
    </row>
  </sheetData>
  <mergeCells count="3">
    <mergeCell ref="D1:H1"/>
    <mergeCell ref="D9:H9"/>
    <mergeCell ref="D17:H17"/>
  </mergeCells>
  <pageMargins left="0.7" right="0.7" top="0.75" bottom="0.75" header="0.3" footer="0.3"/>
  <pageSetup orientation="portrait" horizontalDpi="0" verticalDpi="0"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K49"/>
  <sheetViews>
    <sheetView workbookViewId="0">
      <selection activeCell="B27" sqref="B27"/>
    </sheetView>
  </sheetViews>
  <sheetFormatPr defaultColWidth="14.42578125" defaultRowHeight="15.75" customHeight="1"/>
  <cols>
    <col min="1" max="1" width="23.42578125" customWidth="1"/>
    <col min="3" max="3" width="33.28515625" customWidth="1"/>
  </cols>
  <sheetData>
    <row r="1" spans="2:9" ht="12.75">
      <c r="C1" s="27" t="s">
        <v>27</v>
      </c>
      <c r="D1" s="27" t="s">
        <v>112</v>
      </c>
      <c r="E1" s="27" t="s">
        <v>113</v>
      </c>
      <c r="F1" s="27" t="s">
        <v>114</v>
      </c>
      <c r="G1" s="27" t="s">
        <v>115</v>
      </c>
      <c r="H1" s="27" t="s">
        <v>116</v>
      </c>
      <c r="I1" s="27" t="s">
        <v>117</v>
      </c>
    </row>
    <row r="2" spans="2:9" ht="12.75">
      <c r="C2" s="28" t="s">
        <v>118</v>
      </c>
      <c r="D2" s="29"/>
      <c r="E2" s="29"/>
      <c r="F2" s="29"/>
      <c r="G2" s="29"/>
      <c r="H2" s="29"/>
      <c r="I2" s="29"/>
    </row>
    <row r="3" spans="2:9" ht="12.75">
      <c r="C3" s="25" t="s">
        <v>119</v>
      </c>
      <c r="D3" s="26"/>
      <c r="E3" s="26"/>
      <c r="F3" s="26">
        <v>45000</v>
      </c>
      <c r="G3" s="26">
        <f>F3*1.15</f>
        <v>51749.999999999993</v>
      </c>
      <c r="H3" s="26">
        <f>G3*1.1</f>
        <v>56925</v>
      </c>
      <c r="I3" s="26">
        <f>H3*1.05</f>
        <v>59771.25</v>
      </c>
    </row>
    <row r="4" spans="2:9" ht="12.75">
      <c r="C4" s="25" t="s">
        <v>120</v>
      </c>
      <c r="D4" s="26"/>
      <c r="E4" s="26"/>
      <c r="F4" s="26"/>
      <c r="G4" s="26"/>
      <c r="H4" s="26"/>
      <c r="I4" s="26"/>
    </row>
    <row r="5" spans="2:9" ht="12.75">
      <c r="C5" s="28" t="s">
        <v>121</v>
      </c>
      <c r="D5" s="29"/>
      <c r="E5" s="29"/>
      <c r="F5" s="29"/>
      <c r="G5" s="29"/>
      <c r="H5" s="29"/>
      <c r="I5" s="29"/>
    </row>
    <row r="6" spans="2:9" ht="12.75">
      <c r="C6" s="25" t="s">
        <v>122</v>
      </c>
      <c r="D6" s="26"/>
      <c r="E6" s="26">
        <f>-C33</f>
        <v>-2118.5602318291226</v>
      </c>
      <c r="F6" s="26">
        <f>-C34</f>
        <v>-1727.9957843253167</v>
      </c>
      <c r="G6" s="26">
        <f>-C35</f>
        <v>-1321.5191386205902</v>
      </c>
      <c r="H6" s="26">
        <f>-C36</f>
        <v>-898.48200720899206</v>
      </c>
      <c r="I6" s="26">
        <f>-C37</f>
        <v>-458.2096903513231</v>
      </c>
    </row>
    <row r="7" spans="2:9" ht="12.75">
      <c r="C7" s="25" t="s">
        <v>123</v>
      </c>
      <c r="D7" s="26"/>
      <c r="E7" s="26"/>
      <c r="F7" s="26"/>
      <c r="G7" s="26">
        <v>-1000</v>
      </c>
      <c r="H7" s="26">
        <v>-1000</v>
      </c>
      <c r="I7" s="26">
        <v>-1000</v>
      </c>
    </row>
    <row r="8" spans="2:9" ht="12.75">
      <c r="C8" s="25" t="s">
        <v>124</v>
      </c>
      <c r="D8" s="26"/>
      <c r="E8" s="26"/>
      <c r="F8" s="26"/>
      <c r="G8" s="26"/>
      <c r="H8" s="26"/>
      <c r="I8" s="26"/>
    </row>
    <row r="9" spans="2:9" ht="12.75">
      <c r="C9" s="28" t="s">
        <v>125</v>
      </c>
      <c r="D9" s="29"/>
      <c r="E9" s="29"/>
      <c r="F9" s="29"/>
      <c r="G9" s="29"/>
      <c r="H9" s="29"/>
      <c r="I9" s="29"/>
    </row>
    <row r="10" spans="2:9" ht="12.75">
      <c r="C10" s="25" t="s">
        <v>156</v>
      </c>
      <c r="D10" s="26"/>
      <c r="E10" s="26">
        <f>$D$19/5</f>
        <v>-26000</v>
      </c>
      <c r="F10" s="26">
        <f>$D$19/5</f>
        <v>-26000</v>
      </c>
      <c r="G10" s="26">
        <f>$D$19/5</f>
        <v>-26000</v>
      </c>
      <c r="H10" s="26">
        <f>$D$19/5</f>
        <v>-26000</v>
      </c>
      <c r="I10" s="26">
        <f>$D$19/5</f>
        <v>-26000</v>
      </c>
    </row>
    <row r="11" spans="2:9" ht="12.75">
      <c r="C11" s="25" t="s">
        <v>129</v>
      </c>
      <c r="D11" s="26"/>
      <c r="E11" s="26"/>
      <c r="F11" s="26"/>
      <c r="G11" s="26">
        <f>$F$19/5</f>
        <v>-2000</v>
      </c>
      <c r="H11" s="26">
        <f>$F$19/5</f>
        <v>-2000</v>
      </c>
      <c r="I11" s="26">
        <f>$F$19/5</f>
        <v>-2000</v>
      </c>
    </row>
    <row r="12" spans="2:9" ht="12.75">
      <c r="C12" s="25" t="s">
        <v>70</v>
      </c>
      <c r="D12" s="26"/>
      <c r="E12" s="26"/>
      <c r="F12" s="26"/>
      <c r="G12" s="26"/>
      <c r="H12" s="26"/>
      <c r="I12" s="26">
        <f>I11*2</f>
        <v>-4000</v>
      </c>
    </row>
    <row r="13" spans="2:9" ht="14.25">
      <c r="C13" s="31" t="s">
        <v>130</v>
      </c>
      <c r="D13" s="32"/>
      <c r="E13" s="32">
        <f>SUM(E2:E12)</f>
        <v>-28118.560231829124</v>
      </c>
      <c r="F13" s="32">
        <f>SUM(F2:F12)</f>
        <v>17272.004215674686</v>
      </c>
      <c r="G13" s="32">
        <f>SUM(G2:G12)</f>
        <v>21428.480861379401</v>
      </c>
      <c r="H13" s="32">
        <f>SUM(H2:H12)</f>
        <v>27026.517992791007</v>
      </c>
      <c r="I13" s="32">
        <f>SUM(I2:I12)</f>
        <v>26313.040309648677</v>
      </c>
    </row>
    <row r="14" spans="2:9" ht="12.75">
      <c r="B14" s="3"/>
      <c r="C14" s="33" t="s">
        <v>159</v>
      </c>
      <c r="D14" s="26"/>
      <c r="E14" s="26">
        <f>E13*$B$22</f>
        <v>-9841.4960811401925</v>
      </c>
      <c r="F14" s="26">
        <f>F13*$B$22</f>
        <v>6045.2014754861393</v>
      </c>
      <c r="G14" s="26">
        <f>G13*$B$22</f>
        <v>7499.9683014827897</v>
      </c>
      <c r="H14" s="26">
        <f>H13*$B$22</f>
        <v>9459.2812974768513</v>
      </c>
      <c r="I14" s="26">
        <f>I13*$B$22</f>
        <v>9209.564108377037</v>
      </c>
    </row>
    <row r="15" spans="2:9" ht="28.5">
      <c r="C15" s="34" t="s">
        <v>132</v>
      </c>
      <c r="D15" s="35"/>
      <c r="E15" s="35">
        <f>E13-E14</f>
        <v>-18277.06415068893</v>
      </c>
      <c r="F15" s="35">
        <f>F13-F14</f>
        <v>11226.802740188547</v>
      </c>
      <c r="G15" s="35">
        <f>G13-G14</f>
        <v>13928.512559896611</v>
      </c>
      <c r="H15" s="35">
        <f>H13-H14</f>
        <v>17567.236695314154</v>
      </c>
      <c r="I15" s="35">
        <f>I13-I14</f>
        <v>17103.476201271638</v>
      </c>
    </row>
    <row r="16" spans="2:9" ht="12.75">
      <c r="C16" s="33" t="s">
        <v>133</v>
      </c>
      <c r="D16" s="26"/>
      <c r="E16" s="26">
        <f>-SUM(E10:E12)</f>
        <v>26000</v>
      </c>
      <c r="F16" s="26">
        <f>-SUM(F10:F12)</f>
        <v>26000</v>
      </c>
      <c r="G16" s="26">
        <f>-SUM(G10:G12)</f>
        <v>28000</v>
      </c>
      <c r="H16" s="26">
        <f>-SUM(H10:H12)</f>
        <v>28000</v>
      </c>
      <c r="I16" s="26">
        <f>-SUM(I10:I12)</f>
        <v>32000</v>
      </c>
    </row>
    <row r="17" spans="1:11" ht="12.75">
      <c r="C17" s="25" t="s">
        <v>134</v>
      </c>
      <c r="D17" s="26"/>
      <c r="E17" s="26">
        <f>-D33</f>
        <v>-9586.3931386379372</v>
      </c>
      <c r="F17" s="26">
        <f>-D34</f>
        <v>-9976.9575861417434</v>
      </c>
      <c r="G17" s="26">
        <f>-D35</f>
        <v>-10383.43423184647</v>
      </c>
      <c r="H17" s="26">
        <f>-D36</f>
        <v>-10806.471363258068</v>
      </c>
      <c r="I17" s="26">
        <f>-D37</f>
        <v>-11246.743680115736</v>
      </c>
    </row>
    <row r="18" spans="1:11" ht="12.75">
      <c r="C18" s="25" t="s">
        <v>135</v>
      </c>
      <c r="D18" s="26">
        <f>-D19*0.4</f>
        <v>52000</v>
      </c>
      <c r="E18" s="26"/>
      <c r="F18" s="26"/>
      <c r="G18" s="26"/>
      <c r="H18" s="26"/>
      <c r="I18" s="26"/>
      <c r="K18" t="s">
        <v>313</v>
      </c>
    </row>
    <row r="19" spans="1:11" ht="12.75">
      <c r="C19" s="25" t="s">
        <v>158</v>
      </c>
      <c r="D19" s="26">
        <v>-130000</v>
      </c>
      <c r="E19" s="26"/>
      <c r="F19" s="26">
        <v>-10000</v>
      </c>
      <c r="H19" s="26"/>
      <c r="I19" s="26"/>
      <c r="J19" s="36" t="s">
        <v>29</v>
      </c>
      <c r="K19" s="3">
        <v>0.15</v>
      </c>
    </row>
    <row r="20" spans="1:11" ht="14.25">
      <c r="C20" s="37" t="s">
        <v>139</v>
      </c>
      <c r="D20" s="35">
        <f t="shared" ref="D20:I20" si="0">SUM(D15:D19)</f>
        <v>-78000</v>
      </c>
      <c r="E20" s="35">
        <f t="shared" si="0"/>
        <v>-1863.4572893268669</v>
      </c>
      <c r="F20" s="35">
        <f t="shared" si="0"/>
        <v>17249.845154046805</v>
      </c>
      <c r="G20" s="35">
        <f t="shared" si="0"/>
        <v>31545.078328050142</v>
      </c>
      <c r="H20" s="35">
        <f t="shared" si="0"/>
        <v>34760.765332056086</v>
      </c>
      <c r="I20" s="35">
        <f t="shared" si="0"/>
        <v>37856.7325211559</v>
      </c>
      <c r="J20" s="38">
        <f t="array" ref="J20">D20+NPV(K19,E20:I20)</f>
        <v>-7139.5683319490345</v>
      </c>
    </row>
    <row r="22" spans="1:11" ht="17.25">
      <c r="A22" s="36" t="s">
        <v>160</v>
      </c>
      <c r="B22" s="3">
        <v>0.35</v>
      </c>
      <c r="K22" s="52">
        <f>(1+B40/(B25))^(B26)-1</f>
        <v>6.1677811864497611E-2</v>
      </c>
    </row>
    <row r="24" spans="1:11" ht="12.75">
      <c r="A24" s="21" t="s">
        <v>0</v>
      </c>
      <c r="B24" s="22">
        <v>0.04</v>
      </c>
    </row>
    <row r="25" spans="1:11" ht="12.75">
      <c r="A25" s="21" t="s">
        <v>104</v>
      </c>
      <c r="B25" s="23">
        <v>12</v>
      </c>
    </row>
    <row r="26" spans="1:11" ht="12.75">
      <c r="A26" s="21"/>
      <c r="B26" s="23">
        <v>12</v>
      </c>
    </row>
    <row r="27" spans="1:11" ht="12.75">
      <c r="A27" s="21" t="s">
        <v>3</v>
      </c>
      <c r="B27" s="39">
        <f>((1+B24/B25)^B26)-1</f>
        <v>4.0741542919790819E-2</v>
      </c>
    </row>
    <row r="28" spans="1:11" ht="12.75">
      <c r="A28" s="21" t="s">
        <v>104</v>
      </c>
      <c r="B28" s="23">
        <v>5</v>
      </c>
    </row>
    <row r="30" spans="1:11" ht="12.75">
      <c r="A30" s="1615" t="s">
        <v>103</v>
      </c>
      <c r="B30" s="1613"/>
      <c r="C30" s="1613"/>
      <c r="D30" s="1613"/>
      <c r="E30" s="1614"/>
    </row>
    <row r="31" spans="1:11" ht="12.75">
      <c r="A31" s="24" t="s">
        <v>105</v>
      </c>
      <c r="B31" s="24" t="s">
        <v>106</v>
      </c>
      <c r="C31" s="24" t="s">
        <v>102</v>
      </c>
      <c r="D31" s="24" t="s">
        <v>53</v>
      </c>
      <c r="E31" s="24" t="s">
        <v>107</v>
      </c>
    </row>
    <row r="32" spans="1:11" ht="12.75">
      <c r="A32" s="25">
        <v>0</v>
      </c>
      <c r="B32" s="26"/>
      <c r="C32" s="26"/>
      <c r="D32" s="26"/>
      <c r="E32" s="26">
        <f>D18</f>
        <v>52000</v>
      </c>
    </row>
    <row r="33" spans="1:5" ht="12.75">
      <c r="A33" s="25">
        <v>1</v>
      </c>
      <c r="B33" s="26">
        <f>$E$32*($B$27/((1-(1+$B$27)^-$B$28)))</f>
        <v>11704.953370467059</v>
      </c>
      <c r="C33" s="26">
        <f>E32*$B$27</f>
        <v>2118.5602318291226</v>
      </c>
      <c r="D33" s="26">
        <f>B33-C33</f>
        <v>9586.3931386379372</v>
      </c>
      <c r="E33" s="26">
        <f>E32-D33</f>
        <v>42413.606861362059</v>
      </c>
    </row>
    <row r="34" spans="1:5" ht="12.75">
      <c r="A34" s="25">
        <v>2</v>
      </c>
      <c r="B34" s="26">
        <f>$E$32*($B$27/((1-(1+$B$27)^-$B$28)))</f>
        <v>11704.953370467059</v>
      </c>
      <c r="C34" s="26">
        <f>E33*$B$27</f>
        <v>1727.9957843253167</v>
      </c>
      <c r="D34" s="26">
        <f>B34-C34</f>
        <v>9976.9575861417434</v>
      </c>
      <c r="E34" s="26">
        <f>E33-D34</f>
        <v>32436.649275220316</v>
      </c>
    </row>
    <row r="35" spans="1:5" ht="12.75">
      <c r="A35" s="25">
        <v>3</v>
      </c>
      <c r="B35" s="26">
        <f>$E$32*($B$27/((1-(1+$B$27)^-$B$28)))</f>
        <v>11704.953370467059</v>
      </c>
      <c r="C35" s="26">
        <f>E34*$B$27</f>
        <v>1321.5191386205902</v>
      </c>
      <c r="D35" s="26">
        <f>B35-C35</f>
        <v>10383.43423184647</v>
      </c>
      <c r="E35" s="26">
        <f>E34-D35</f>
        <v>22053.215043373846</v>
      </c>
    </row>
    <row r="36" spans="1:5" ht="12.75">
      <c r="A36" s="25">
        <v>4</v>
      </c>
      <c r="B36" s="26">
        <f>$E$32*($B$27/((1-(1+$B$27)^-$B$28)))</f>
        <v>11704.953370467059</v>
      </c>
      <c r="C36" s="26">
        <f>E35*$B$27</f>
        <v>898.48200720899206</v>
      </c>
      <c r="D36" s="26">
        <f>B36-C36</f>
        <v>10806.471363258068</v>
      </c>
      <c r="E36" s="26">
        <f>E35-D36</f>
        <v>11246.743680115778</v>
      </c>
    </row>
    <row r="37" spans="1:5" ht="12.75">
      <c r="A37" s="25">
        <v>5</v>
      </c>
      <c r="B37" s="26">
        <f>$E$32*($B$27/((1-(1+$B$27)^-$B$28)))</f>
        <v>11704.953370467059</v>
      </c>
      <c r="C37" s="26">
        <f>E36*$B$27</f>
        <v>458.2096903513231</v>
      </c>
      <c r="D37" s="26">
        <f>B37-C37</f>
        <v>11246.743680115736</v>
      </c>
      <c r="E37" s="26">
        <f>E36-D37</f>
        <v>4.1836756281554699E-11</v>
      </c>
    </row>
    <row r="40" spans="1:5" ht="14.25">
      <c r="A40" s="40" t="s">
        <v>140</v>
      </c>
      <c r="B40" s="41">
        <f>(B42*B48)+ (B47*B49*(1-B46))</f>
        <v>0.06</v>
      </c>
    </row>
    <row r="41" spans="1:5" ht="15.75" customHeight="1">
      <c r="A41" s="42" t="s">
        <v>141</v>
      </c>
      <c r="B41" s="43" t="s">
        <v>142</v>
      </c>
    </row>
    <row r="42" spans="1:5" ht="15.75" customHeight="1">
      <c r="A42" s="44" t="s">
        <v>143</v>
      </c>
      <c r="B42" s="45">
        <f>B43+B44*(B45-B43)</f>
        <v>0.06</v>
      </c>
    </row>
    <row r="43" spans="1:5" ht="15.75" customHeight="1">
      <c r="A43" s="44" t="s">
        <v>144</v>
      </c>
      <c r="B43" s="46">
        <v>0.04</v>
      </c>
      <c r="C43" s="4" t="s">
        <v>145</v>
      </c>
    </row>
    <row r="44" spans="1:5" ht="12.75">
      <c r="A44" s="47" t="s">
        <v>7</v>
      </c>
      <c r="B44" s="48">
        <v>1</v>
      </c>
    </row>
    <row r="45" spans="1:5" ht="12.75">
      <c r="A45" s="47" t="s">
        <v>146</v>
      </c>
      <c r="B45" s="49">
        <v>0.06</v>
      </c>
      <c r="C45" s="4" t="s">
        <v>147</v>
      </c>
    </row>
    <row r="46" spans="1:5" ht="12.75">
      <c r="A46" s="47" t="s">
        <v>148</v>
      </c>
      <c r="B46" s="49">
        <f>B22</f>
        <v>0.35</v>
      </c>
      <c r="C46" s="4" t="s">
        <v>149</v>
      </c>
      <c r="D46" s="4"/>
      <c r="E46" s="4"/>
    </row>
    <row r="47" spans="1:5" ht="12.75">
      <c r="A47" s="47" t="s">
        <v>150</v>
      </c>
      <c r="B47" s="48">
        <v>0</v>
      </c>
      <c r="C47" s="4" t="s">
        <v>151</v>
      </c>
      <c r="D47" s="4"/>
      <c r="E47" s="4"/>
    </row>
    <row r="48" spans="1:5" ht="12.75">
      <c r="A48" s="47" t="s">
        <v>152</v>
      </c>
      <c r="B48" s="49">
        <v>1</v>
      </c>
      <c r="C48" s="4" t="s">
        <v>153</v>
      </c>
    </row>
    <row r="49" spans="1:3" ht="12.75">
      <c r="A49" s="50" t="s">
        <v>154</v>
      </c>
      <c r="B49" s="51">
        <v>0</v>
      </c>
      <c r="C49" s="4" t="s">
        <v>155</v>
      </c>
    </row>
  </sheetData>
  <mergeCells count="1">
    <mergeCell ref="A30:E30"/>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K59"/>
  <sheetViews>
    <sheetView workbookViewId="0">
      <selection activeCell="A44" sqref="A44"/>
    </sheetView>
  </sheetViews>
  <sheetFormatPr defaultColWidth="14.42578125" defaultRowHeight="15.75" customHeight="1"/>
  <cols>
    <col min="1" max="1" width="23.42578125" customWidth="1"/>
    <col min="3" max="3" width="33.28515625" customWidth="1"/>
    <col min="5" max="5" width="29.7109375" customWidth="1"/>
  </cols>
  <sheetData>
    <row r="1" spans="2:9" ht="12.75">
      <c r="C1" s="54" t="s">
        <v>27</v>
      </c>
      <c r="D1" s="55" t="s">
        <v>112</v>
      </c>
      <c r="E1" s="55" t="s">
        <v>113</v>
      </c>
      <c r="F1" s="55" t="s">
        <v>114</v>
      </c>
      <c r="G1" s="55" t="s">
        <v>115</v>
      </c>
      <c r="H1" s="55" t="s">
        <v>116</v>
      </c>
      <c r="I1" s="56" t="s">
        <v>117</v>
      </c>
    </row>
    <row r="2" spans="2:9" ht="12.75">
      <c r="C2" s="57" t="s">
        <v>118</v>
      </c>
      <c r="D2" s="29"/>
      <c r="E2" s="29"/>
      <c r="F2" s="29"/>
      <c r="G2" s="29"/>
      <c r="H2" s="29"/>
      <c r="I2" s="58"/>
    </row>
    <row r="3" spans="2:9" ht="12.75">
      <c r="C3" s="47" t="s">
        <v>119</v>
      </c>
      <c r="D3" s="26"/>
      <c r="E3" s="26">
        <v>10000</v>
      </c>
      <c r="F3" s="26">
        <v>10000</v>
      </c>
      <c r="G3" s="26">
        <v>10000</v>
      </c>
      <c r="H3" s="26">
        <v>10000</v>
      </c>
      <c r="I3" s="59">
        <v>10000</v>
      </c>
    </row>
    <row r="4" spans="2:9" ht="12.75">
      <c r="C4" s="47" t="s">
        <v>120</v>
      </c>
      <c r="D4" s="26"/>
      <c r="E4" s="26"/>
      <c r="F4" s="26"/>
      <c r="G4" s="26"/>
      <c r="H4" s="26">
        <v>30000</v>
      </c>
      <c r="I4" s="59"/>
    </row>
    <row r="5" spans="2:9" ht="12.75">
      <c r="C5" s="57" t="s">
        <v>121</v>
      </c>
      <c r="D5" s="29"/>
      <c r="E5" s="29"/>
      <c r="F5" s="29"/>
      <c r="G5" s="29"/>
      <c r="H5" s="29"/>
      <c r="I5" s="58"/>
    </row>
    <row r="6" spans="2:9" ht="12.75">
      <c r="C6" s="47" t="s">
        <v>122</v>
      </c>
      <c r="D6" s="26"/>
      <c r="E6" s="26">
        <f>-C33</f>
        <v>-496.28730409297492</v>
      </c>
      <c r="F6" s="26">
        <f>-C34</f>
        <v>-257.99862265536581</v>
      </c>
      <c r="G6" s="26">
        <f>-C35</f>
        <v>0</v>
      </c>
      <c r="H6" s="26">
        <f>-C36</f>
        <v>0</v>
      </c>
      <c r="I6" s="59">
        <f>-C37</f>
        <v>0</v>
      </c>
    </row>
    <row r="7" spans="2:9" ht="12.75">
      <c r="C7" s="47" t="s">
        <v>123</v>
      </c>
      <c r="D7" s="26"/>
      <c r="E7" s="26"/>
      <c r="F7" s="26"/>
      <c r="G7" s="26"/>
      <c r="H7" s="26"/>
      <c r="I7" s="59"/>
    </row>
    <row r="8" spans="2:9" ht="12.75">
      <c r="C8" s="47" t="s">
        <v>124</v>
      </c>
      <c r="D8" s="26"/>
      <c r="E8" s="26"/>
      <c r="F8" s="26"/>
      <c r="G8" s="26"/>
      <c r="H8" s="26"/>
      <c r="I8" s="59"/>
    </row>
    <row r="9" spans="2:9" ht="12.75">
      <c r="C9" s="57" t="s">
        <v>125</v>
      </c>
      <c r="D9" s="29"/>
      <c r="E9" s="29"/>
      <c r="F9" s="29"/>
      <c r="G9" s="29"/>
      <c r="H9" s="29"/>
      <c r="I9" s="58"/>
    </row>
    <row r="10" spans="2:9" ht="12.75">
      <c r="C10" s="47" t="s">
        <v>156</v>
      </c>
      <c r="D10" s="26"/>
      <c r="E10" s="26">
        <f>D19/5</f>
        <v>-1600</v>
      </c>
      <c r="F10" s="26">
        <f>$D$19/5</f>
        <v>-1600</v>
      </c>
      <c r="G10" s="26">
        <f>$D$19/5</f>
        <v>-1600</v>
      </c>
      <c r="H10" s="26">
        <f>$D$19/5</f>
        <v>-1600</v>
      </c>
      <c r="I10" s="59">
        <f>$D$19/5/2</f>
        <v>-800</v>
      </c>
    </row>
    <row r="11" spans="2:9" ht="12.75">
      <c r="C11" s="47" t="s">
        <v>129</v>
      </c>
      <c r="D11" s="26"/>
      <c r="E11" s="26"/>
      <c r="F11" s="26"/>
      <c r="G11" s="26">
        <f>$G$19/5</f>
        <v>0</v>
      </c>
      <c r="H11" s="26">
        <f>H10/2</f>
        <v>-800</v>
      </c>
      <c r="I11" s="59">
        <f>$G$19/5</f>
        <v>0</v>
      </c>
    </row>
    <row r="12" spans="2:9" ht="12.75">
      <c r="C12" s="47" t="s">
        <v>70</v>
      </c>
      <c r="D12" s="26"/>
      <c r="E12" s="26"/>
      <c r="F12" s="26"/>
      <c r="G12" s="26"/>
      <c r="H12" s="26"/>
      <c r="I12" s="59">
        <f>I11*2</f>
        <v>0</v>
      </c>
    </row>
    <row r="13" spans="2:9" ht="14.25">
      <c r="C13" s="60" t="s">
        <v>130</v>
      </c>
      <c r="D13" s="32"/>
      <c r="E13" s="32">
        <f>SUM(E2:E12)</f>
        <v>7903.7126959070247</v>
      </c>
      <c r="F13" s="32">
        <f>SUM(F2:F12)</f>
        <v>8142.0013773446335</v>
      </c>
      <c r="G13" s="32">
        <f>SUM(G2:G12)</f>
        <v>8400</v>
      </c>
      <c r="H13" s="32">
        <f>SUM(H2:H12)</f>
        <v>37600</v>
      </c>
      <c r="I13" s="61">
        <f>SUM(I2:I12)</f>
        <v>9200</v>
      </c>
    </row>
    <row r="14" spans="2:9" ht="12.75">
      <c r="B14" s="3"/>
      <c r="C14" s="62" t="s">
        <v>131</v>
      </c>
      <c r="D14" s="26"/>
      <c r="E14" s="26">
        <f>E13*$B$22</f>
        <v>790.37126959070247</v>
      </c>
      <c r="F14" s="26">
        <f>F13*$B$22</f>
        <v>814.2001377344634</v>
      </c>
      <c r="G14" s="26">
        <f>G13*$B$22</f>
        <v>840</v>
      </c>
      <c r="H14" s="26">
        <f>H13*$B$22</f>
        <v>3760</v>
      </c>
      <c r="I14" s="59">
        <f>I13*$B$22</f>
        <v>920</v>
      </c>
    </row>
    <row r="15" spans="2:9" ht="28.5">
      <c r="C15" s="63" t="s">
        <v>132</v>
      </c>
      <c r="D15" s="35"/>
      <c r="E15" s="35">
        <f>E13-E14</f>
        <v>7113.3414263163222</v>
      </c>
      <c r="F15" s="35">
        <f>F13-F14</f>
        <v>7327.8012396101703</v>
      </c>
      <c r="G15" s="35">
        <f>G13-G14</f>
        <v>7560</v>
      </c>
      <c r="H15" s="35">
        <f>H13-H14</f>
        <v>33840</v>
      </c>
      <c r="I15" s="64">
        <f>I13-I14</f>
        <v>8280</v>
      </c>
    </row>
    <row r="16" spans="2:9" ht="12.75">
      <c r="C16" s="62" t="s">
        <v>133</v>
      </c>
      <c r="D16" s="26"/>
      <c r="E16" s="26">
        <f>-SUM(E10:E12)</f>
        <v>1600</v>
      </c>
      <c r="F16" s="26">
        <f>-SUM(F10:F12)</f>
        <v>1600</v>
      </c>
      <c r="G16" s="26">
        <f>-SUM(G10:G12)</f>
        <v>1600</v>
      </c>
      <c r="H16" s="26">
        <f>-SUM(H10:H12)</f>
        <v>2400</v>
      </c>
      <c r="I16" s="59">
        <f>-SUM(I10:I12)</f>
        <v>800</v>
      </c>
    </row>
    <row r="17" spans="1:11" ht="12.75">
      <c r="C17" s="47" t="s">
        <v>134</v>
      </c>
      <c r="D17" s="26"/>
      <c r="E17" s="26">
        <f>-D33</f>
        <v>-2880.8556592811965</v>
      </c>
      <c r="F17" s="26">
        <f>-D34</f>
        <v>-3119.1443407188053</v>
      </c>
      <c r="G17" s="26">
        <f>-D35</f>
        <v>0</v>
      </c>
      <c r="H17" s="26">
        <f>-D36</f>
        <v>0</v>
      </c>
      <c r="I17" s="59">
        <f>-D37</f>
        <v>0</v>
      </c>
    </row>
    <row r="18" spans="1:11" ht="12.75">
      <c r="C18" s="47" t="s">
        <v>135</v>
      </c>
      <c r="D18" s="26">
        <f>-D19*0.75</f>
        <v>6000</v>
      </c>
      <c r="E18" s="26"/>
      <c r="F18" s="26"/>
      <c r="G18" s="26"/>
      <c r="H18" s="26"/>
      <c r="I18" s="59"/>
    </row>
    <row r="19" spans="1:11" ht="12.75">
      <c r="C19" s="47" t="s">
        <v>158</v>
      </c>
      <c r="D19" s="26">
        <v>-8000</v>
      </c>
      <c r="E19" s="26"/>
      <c r="F19" s="26"/>
      <c r="G19" s="26"/>
      <c r="H19" s="26"/>
      <c r="I19" s="59"/>
      <c r="J19" s="36" t="s">
        <v>29</v>
      </c>
      <c r="K19" s="65">
        <f>B40</f>
        <v>5.6850678733031672E-2</v>
      </c>
    </row>
    <row r="20" spans="1:11" ht="14.25">
      <c r="C20" s="66" t="s">
        <v>139</v>
      </c>
      <c r="D20" s="67">
        <f t="shared" ref="D20:I20" si="0">SUM(D15:D19)</f>
        <v>-2000</v>
      </c>
      <c r="E20" s="67">
        <f t="shared" si="0"/>
        <v>5832.4857670351248</v>
      </c>
      <c r="F20" s="67">
        <f t="shared" si="0"/>
        <v>5808.6568988913641</v>
      </c>
      <c r="G20" s="67">
        <f t="shared" si="0"/>
        <v>9160</v>
      </c>
      <c r="H20" s="67">
        <f t="shared" si="0"/>
        <v>36240</v>
      </c>
      <c r="I20" s="68">
        <f t="shared" si="0"/>
        <v>9080</v>
      </c>
      <c r="J20" s="38">
        <f t="array" ref="J20">D20+NPV(K19,E20:I20)</f>
        <v>52415.123690521068</v>
      </c>
    </row>
    <row r="21" spans="1:11" ht="14.25">
      <c r="D21" s="69"/>
      <c r="E21" s="70">
        <f>E20/(1+$B$40)^E22</f>
        <v>5518.7415634034469</v>
      </c>
      <c r="F21" s="70">
        <f>F20/(1+$B$40)^F22</f>
        <v>5200.5402665857055</v>
      </c>
      <c r="G21" s="70">
        <f>G20/(1+$B$40)^G22</f>
        <v>7759.872431129098</v>
      </c>
      <c r="H21" s="70">
        <f>H20/(1+$B$40)^H22</f>
        <v>29049.165870047847</v>
      </c>
      <c r="I21" s="70">
        <f>I20/(1+$B$40)^I22</f>
        <v>6886.8035593549776</v>
      </c>
      <c r="J21" s="5">
        <f>D20+SUM(E21:I21)</f>
        <v>52415.123690521075</v>
      </c>
    </row>
    <row r="22" spans="1:11" ht="12.75">
      <c r="A22" s="71" t="s">
        <v>160</v>
      </c>
      <c r="B22" s="72">
        <v>0.1</v>
      </c>
      <c r="E22" s="4">
        <v>1</v>
      </c>
      <c r="F22" s="4">
        <v>2</v>
      </c>
      <c r="G22" s="4">
        <v>3</v>
      </c>
      <c r="H22" s="4">
        <v>4</v>
      </c>
      <c r="I22" s="4">
        <v>5</v>
      </c>
    </row>
    <row r="24" spans="1:11" ht="12.75">
      <c r="A24" s="73" t="s">
        <v>0</v>
      </c>
      <c r="B24" s="74">
        <v>0.08</v>
      </c>
    </row>
    <row r="25" spans="1:11" ht="12.75">
      <c r="A25" s="75" t="s">
        <v>104</v>
      </c>
      <c r="B25" s="76">
        <v>6</v>
      </c>
    </row>
    <row r="26" spans="1:11" ht="12.75">
      <c r="A26" s="75"/>
      <c r="B26" s="76">
        <v>6</v>
      </c>
    </row>
    <row r="27" spans="1:11" ht="12.75">
      <c r="A27" s="75" t="s">
        <v>3</v>
      </c>
      <c r="B27" s="77">
        <f>((1+B24/B25)^B26)-1</f>
        <v>8.2714550682162491E-2</v>
      </c>
    </row>
    <row r="28" spans="1:11" ht="12.75">
      <c r="A28" s="78" t="s">
        <v>104</v>
      </c>
      <c r="B28" s="79">
        <v>2</v>
      </c>
    </row>
    <row r="30" spans="1:11" ht="12.75">
      <c r="A30" s="1616" t="s">
        <v>103</v>
      </c>
      <c r="B30" s="1617"/>
      <c r="C30" s="1617"/>
      <c r="D30" s="1617"/>
      <c r="E30" s="1618"/>
    </row>
    <row r="31" spans="1:11" ht="12.75">
      <c r="A31" s="80" t="s">
        <v>105</v>
      </c>
      <c r="B31" s="24" t="s">
        <v>106</v>
      </c>
      <c r="C31" s="24" t="s">
        <v>102</v>
      </c>
      <c r="D31" s="24" t="s">
        <v>53</v>
      </c>
      <c r="E31" s="81" t="s">
        <v>107</v>
      </c>
    </row>
    <row r="32" spans="1:11" ht="12.75">
      <c r="A32" s="47">
        <v>0</v>
      </c>
      <c r="B32" s="26"/>
      <c r="C32" s="26"/>
      <c r="D32" s="26"/>
      <c r="E32" s="59">
        <f>D18</f>
        <v>6000</v>
      </c>
    </row>
    <row r="33" spans="1:6" ht="12.75">
      <c r="A33" s="47">
        <v>1</v>
      </c>
      <c r="B33" s="26">
        <f>$E$32*($B$27/((1-(1+$B$27)^-$B$28)))</f>
        <v>3377.1429633741714</v>
      </c>
      <c r="C33" s="26">
        <f>E32*$B$27</f>
        <v>496.28730409297492</v>
      </c>
      <c r="D33" s="26">
        <f>B33-C33</f>
        <v>2880.8556592811965</v>
      </c>
      <c r="E33" s="59">
        <f>E32-D33</f>
        <v>3119.1443407188035</v>
      </c>
    </row>
    <row r="34" spans="1:6" ht="12.75">
      <c r="A34" s="47">
        <v>2</v>
      </c>
      <c r="B34" s="26">
        <f>$E$32*($B$27/((1-(1+$B$27)^-$B$28)))</f>
        <v>3377.1429633741714</v>
      </c>
      <c r="C34" s="26">
        <f>E33*$B$27</f>
        <v>257.99862265536581</v>
      </c>
      <c r="D34" s="26">
        <f>B34-C34</f>
        <v>3119.1443407188053</v>
      </c>
      <c r="E34" s="59">
        <f>E33-D34</f>
        <v>0</v>
      </c>
    </row>
    <row r="35" spans="1:6" ht="12.75">
      <c r="A35" s="47"/>
      <c r="B35" s="26"/>
      <c r="C35" s="26"/>
      <c r="D35" s="26"/>
      <c r="E35" s="59"/>
    </row>
    <row r="36" spans="1:6" ht="12.75">
      <c r="A36" s="47"/>
      <c r="B36" s="26"/>
      <c r="C36" s="26"/>
      <c r="D36" s="26"/>
      <c r="E36" s="59"/>
    </row>
    <row r="37" spans="1:6" ht="12.75">
      <c r="A37" s="50"/>
      <c r="B37" s="82"/>
      <c r="C37" s="82"/>
      <c r="D37" s="82"/>
      <c r="E37" s="83"/>
    </row>
    <row r="40" spans="1:6" ht="14.25">
      <c r="A40" s="40" t="s">
        <v>140</v>
      </c>
      <c r="B40" s="84">
        <f>(B42*B48)+ (B47*B49*(1-B46))</f>
        <v>5.6850678733031672E-2</v>
      </c>
      <c r="E40" s="1619" t="s">
        <v>150</v>
      </c>
      <c r="F40" s="1618"/>
    </row>
    <row r="41" spans="1:6" ht="15.75" customHeight="1">
      <c r="A41" s="42" t="s">
        <v>141</v>
      </c>
      <c r="B41" s="43" t="s">
        <v>142</v>
      </c>
      <c r="E41" s="47" t="s">
        <v>161</v>
      </c>
      <c r="F41" s="48">
        <v>50000</v>
      </c>
    </row>
    <row r="42" spans="1:6" ht="15.75" customHeight="1">
      <c r="A42" s="44" t="s">
        <v>143</v>
      </c>
      <c r="B42" s="45">
        <f>B43+B44*(B45-B43)</f>
        <v>0.03</v>
      </c>
      <c r="E42" s="47" t="s">
        <v>162</v>
      </c>
      <c r="F42" s="48">
        <v>150000</v>
      </c>
    </row>
    <row r="43" spans="1:6" ht="15.75" customHeight="1">
      <c r="A43" s="44" t="s">
        <v>144</v>
      </c>
      <c r="B43" s="46">
        <v>0.03</v>
      </c>
      <c r="C43" s="4" t="s">
        <v>145</v>
      </c>
      <c r="E43" s="47" t="s">
        <v>163</v>
      </c>
      <c r="F43" s="49">
        <v>0.09</v>
      </c>
    </row>
    <row r="44" spans="1:6" ht="12.75">
      <c r="A44" s="47" t="s">
        <v>7</v>
      </c>
      <c r="B44" s="48">
        <v>0</v>
      </c>
      <c r="E44" s="47" t="s">
        <v>164</v>
      </c>
      <c r="F44" s="49">
        <v>0.15</v>
      </c>
    </row>
    <row r="45" spans="1:6" ht="12.75">
      <c r="A45" s="47" t="s">
        <v>146</v>
      </c>
      <c r="B45" s="49">
        <v>0</v>
      </c>
      <c r="C45" s="4" t="s">
        <v>147</v>
      </c>
      <c r="E45" s="85" t="s">
        <v>165</v>
      </c>
      <c r="F45" s="86">
        <f>F44*(F41/F59)+F43*(F42/F59)</f>
        <v>0.10500000000000001</v>
      </c>
    </row>
    <row r="46" spans="1:6" ht="12.75">
      <c r="A46" s="47" t="s">
        <v>148</v>
      </c>
      <c r="B46" s="87">
        <f>B22</f>
        <v>0.1</v>
      </c>
      <c r="C46" s="4" t="s">
        <v>149</v>
      </c>
      <c r="D46" s="4"/>
      <c r="E46" s="4"/>
    </row>
    <row r="47" spans="1:6" ht="12.75">
      <c r="A47" s="47" t="s">
        <v>150</v>
      </c>
      <c r="B47" s="87">
        <f>F45</f>
        <v>0.10500000000000001</v>
      </c>
      <c r="C47" s="4" t="s">
        <v>151</v>
      </c>
      <c r="D47" s="4"/>
      <c r="E47" s="4"/>
    </row>
    <row r="48" spans="1:6" ht="14.25">
      <c r="A48" s="47" t="s">
        <v>152</v>
      </c>
      <c r="B48" s="87">
        <f>F52</f>
        <v>0.58371040723981904</v>
      </c>
      <c r="C48" s="4" t="s">
        <v>153</v>
      </c>
      <c r="E48" s="1619" t="s">
        <v>166</v>
      </c>
      <c r="F48" s="1618"/>
    </row>
    <row r="49" spans="1:7" ht="12.75">
      <c r="A49" s="50" t="s">
        <v>154</v>
      </c>
      <c r="B49" s="88">
        <f>F53</f>
        <v>0.41628959276018096</v>
      </c>
      <c r="C49" s="4" t="s">
        <v>155</v>
      </c>
      <c r="E49" s="47" t="s">
        <v>107</v>
      </c>
      <c r="F49" s="89">
        <v>300000</v>
      </c>
    </row>
    <row r="50" spans="1:7" ht="12.75">
      <c r="E50" s="47" t="s">
        <v>167</v>
      </c>
      <c r="F50" s="89">
        <v>22500</v>
      </c>
    </row>
    <row r="51" spans="1:7" ht="12.75">
      <c r="E51" s="47" t="s">
        <v>168</v>
      </c>
      <c r="F51" s="48">
        <f>552500</f>
        <v>552500</v>
      </c>
      <c r="G51" s="4" t="s">
        <v>169</v>
      </c>
    </row>
    <row r="52" spans="1:7" ht="12.75">
      <c r="E52" s="47" t="s">
        <v>170</v>
      </c>
      <c r="F52" s="87">
        <f>SUM(F49:F50)/F51</f>
        <v>0.58371040723981904</v>
      </c>
      <c r="G52" s="13"/>
    </row>
    <row r="53" spans="1:7" ht="12.75">
      <c r="E53" s="50" t="s">
        <v>171</v>
      </c>
      <c r="F53" s="88">
        <f>1-F52</f>
        <v>0.41628959276018096</v>
      </c>
      <c r="G53" s="90"/>
    </row>
    <row r="55" spans="1:7" ht="12.75">
      <c r="E55" s="91" t="s">
        <v>172</v>
      </c>
      <c r="F55" s="92"/>
    </row>
    <row r="56" spans="1:7" ht="12.75">
      <c r="E56" s="47" t="s">
        <v>173</v>
      </c>
      <c r="F56" s="48"/>
    </row>
    <row r="57" spans="1:7" ht="12.75">
      <c r="E57" s="47" t="s">
        <v>174</v>
      </c>
      <c r="F57" s="48">
        <v>50000</v>
      </c>
    </row>
    <row r="58" spans="1:7" ht="12.75">
      <c r="E58" s="47" t="s">
        <v>175</v>
      </c>
      <c r="F58" s="48">
        <v>150000</v>
      </c>
    </row>
    <row r="59" spans="1:7" ht="12.75">
      <c r="E59" s="85" t="s">
        <v>176</v>
      </c>
      <c r="F59" s="93">
        <f>SUM(F56:F58)</f>
        <v>200000</v>
      </c>
    </row>
  </sheetData>
  <mergeCells count="3">
    <mergeCell ref="A30:E30"/>
    <mergeCell ref="E40:F40"/>
    <mergeCell ref="E48:F48"/>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K61"/>
  <sheetViews>
    <sheetView workbookViewId="0">
      <selection activeCell="B43" sqref="B43"/>
    </sheetView>
  </sheetViews>
  <sheetFormatPr defaultColWidth="14.42578125" defaultRowHeight="15.75" customHeight="1"/>
  <cols>
    <col min="1" max="1" width="23.42578125" customWidth="1"/>
    <col min="3" max="3" width="36.42578125" customWidth="1"/>
    <col min="5" max="5" width="29.7109375" customWidth="1"/>
    <col min="7" max="7" width="17.85546875" customWidth="1"/>
    <col min="8" max="8" width="11.42578125" bestFit="1" customWidth="1"/>
  </cols>
  <sheetData>
    <row r="1" spans="2:9" ht="12.75">
      <c r="C1" s="54" t="s">
        <v>27</v>
      </c>
      <c r="D1" s="55" t="s">
        <v>112</v>
      </c>
      <c r="E1" s="55" t="s">
        <v>113</v>
      </c>
      <c r="F1" s="55" t="s">
        <v>114</v>
      </c>
      <c r="G1" s="55" t="s">
        <v>115</v>
      </c>
      <c r="H1" s="55" t="s">
        <v>116</v>
      </c>
      <c r="I1" s="56" t="s">
        <v>117</v>
      </c>
    </row>
    <row r="2" spans="2:9" ht="12.75">
      <c r="C2" s="94" t="s">
        <v>177</v>
      </c>
      <c r="D2" s="95"/>
      <c r="E2" s="95">
        <v>200</v>
      </c>
      <c r="F2" s="95">
        <f>E2</f>
        <v>200</v>
      </c>
      <c r="G2" s="95">
        <f>F2</f>
        <v>200</v>
      </c>
      <c r="H2" s="95">
        <f>G2*1.25</f>
        <v>250</v>
      </c>
      <c r="I2" s="95">
        <v>250</v>
      </c>
    </row>
    <row r="3" spans="2:9" ht="12.75">
      <c r="C3" s="57" t="s">
        <v>118</v>
      </c>
      <c r="D3" s="29"/>
      <c r="E3" s="29"/>
      <c r="F3" s="29"/>
      <c r="G3" s="29"/>
      <c r="H3" s="29"/>
      <c r="I3" s="29"/>
    </row>
    <row r="4" spans="2:9" ht="12.75">
      <c r="C4" s="47" t="s">
        <v>119</v>
      </c>
      <c r="D4" s="26"/>
      <c r="E4" s="26">
        <v>0</v>
      </c>
      <c r="F4" s="26">
        <v>0</v>
      </c>
      <c r="G4" s="26">
        <v>0</v>
      </c>
      <c r="H4" s="26">
        <v>0</v>
      </c>
      <c r="I4" s="59">
        <v>0</v>
      </c>
    </row>
    <row r="5" spans="2:9" ht="12.75">
      <c r="C5" s="47" t="s">
        <v>178</v>
      </c>
      <c r="D5" s="26"/>
      <c r="E5" s="26"/>
      <c r="F5" s="26"/>
      <c r="G5" s="26"/>
      <c r="H5" s="26"/>
      <c r="I5" s="59">
        <f>-D21*0.3</f>
        <v>600</v>
      </c>
    </row>
    <row r="6" spans="2:9" ht="12.75">
      <c r="C6" s="47" t="s">
        <v>120</v>
      </c>
      <c r="D6" s="26"/>
      <c r="E6" s="26">
        <v>0</v>
      </c>
      <c r="F6" s="26">
        <v>0</v>
      </c>
      <c r="G6" s="26">
        <v>0</v>
      </c>
      <c r="H6" s="26">
        <v>0</v>
      </c>
      <c r="I6" s="59">
        <v>0</v>
      </c>
    </row>
    <row r="7" spans="2:9" ht="12.75">
      <c r="C7" s="57" t="s">
        <v>121</v>
      </c>
      <c r="D7" s="29"/>
      <c r="E7" s="29"/>
      <c r="F7" s="29"/>
      <c r="G7" s="29"/>
      <c r="H7" s="29"/>
      <c r="I7" s="58"/>
    </row>
    <row r="8" spans="2:9" ht="12.75">
      <c r="C8" s="47" t="s">
        <v>122</v>
      </c>
      <c r="D8" s="26"/>
      <c r="E8" s="26">
        <f>-C35</f>
        <v>0</v>
      </c>
      <c r="F8" s="26">
        <f>-C36</f>
        <v>0</v>
      </c>
      <c r="G8" s="26">
        <f>-C37</f>
        <v>0</v>
      </c>
      <c r="H8" s="26">
        <f>-C38</f>
        <v>0</v>
      </c>
      <c r="I8" s="59">
        <f>-C39</f>
        <v>0</v>
      </c>
    </row>
    <row r="9" spans="2:9" ht="12.75">
      <c r="C9" s="47" t="s">
        <v>123</v>
      </c>
      <c r="D9" s="26"/>
      <c r="E9" s="26">
        <f>-E2*$H37</f>
        <v>-1839.9999999999998</v>
      </c>
      <c r="F9" s="26">
        <f>-F2*$H37</f>
        <v>-1839.9999999999998</v>
      </c>
      <c r="G9" s="26">
        <f>-G2*$H37</f>
        <v>-1839.9999999999998</v>
      </c>
      <c r="H9" s="26">
        <f>-H2*$H37</f>
        <v>-2300</v>
      </c>
      <c r="I9" s="26">
        <f>-I2*$H37</f>
        <v>-2300</v>
      </c>
    </row>
    <row r="10" spans="2:9" ht="12.75">
      <c r="C10" s="47" t="s">
        <v>124</v>
      </c>
      <c r="D10" s="26"/>
      <c r="E10" s="26"/>
      <c r="F10" s="26"/>
      <c r="G10" s="26"/>
      <c r="H10" s="26"/>
      <c r="I10" s="59"/>
    </row>
    <row r="11" spans="2:9" ht="12.75">
      <c r="C11" s="57" t="s">
        <v>125</v>
      </c>
      <c r="D11" s="29"/>
      <c r="E11" s="29"/>
      <c r="F11" s="29"/>
      <c r="G11" s="29"/>
      <c r="H11" s="29"/>
      <c r="I11" s="58"/>
    </row>
    <row r="12" spans="2:9" ht="12.75">
      <c r="C12" s="47" t="s">
        <v>156</v>
      </c>
      <c r="D12" s="26"/>
      <c r="E12" s="26">
        <f>$D$21/4</f>
        <v>-500</v>
      </c>
      <c r="F12" s="26">
        <f>$D$21/4</f>
        <v>-500</v>
      </c>
      <c r="G12" s="26">
        <f>$D$21/4</f>
        <v>-500</v>
      </c>
      <c r="H12" s="26">
        <f>$D$21/4</f>
        <v>-500</v>
      </c>
      <c r="I12" s="59">
        <v>0</v>
      </c>
    </row>
    <row r="13" spans="2:9" ht="12.75">
      <c r="C13" s="47" t="s">
        <v>129</v>
      </c>
      <c r="D13" s="26"/>
      <c r="E13" s="26">
        <v>0</v>
      </c>
      <c r="F13" s="26">
        <v>0</v>
      </c>
      <c r="G13" s="26">
        <f>$G$21/5</f>
        <v>0</v>
      </c>
      <c r="H13" s="26">
        <v>0</v>
      </c>
      <c r="I13" s="59">
        <v>0</v>
      </c>
    </row>
    <row r="14" spans="2:9" ht="12.75">
      <c r="C14" s="47" t="s">
        <v>70</v>
      </c>
      <c r="D14" s="26"/>
      <c r="E14" s="26">
        <v>0</v>
      </c>
      <c r="F14" s="26">
        <v>0</v>
      </c>
      <c r="G14" s="26">
        <v>0</v>
      </c>
      <c r="H14" s="26">
        <v>0</v>
      </c>
      <c r="I14" s="59"/>
    </row>
    <row r="15" spans="2:9" ht="14.25">
      <c r="C15" s="60" t="s">
        <v>130</v>
      </c>
      <c r="D15" s="32"/>
      <c r="E15" s="32">
        <f>SUM(E3:E14)</f>
        <v>-2340</v>
      </c>
      <c r="F15" s="32">
        <f>SUM(F3:F14)</f>
        <v>-2340</v>
      </c>
      <c r="G15" s="32">
        <f>SUM(G3:G14)</f>
        <v>-2340</v>
      </c>
      <c r="H15" s="32">
        <f>SUM(H3:H14)</f>
        <v>-2800</v>
      </c>
      <c r="I15" s="61">
        <f>SUM(I3:I14)</f>
        <v>-1700</v>
      </c>
    </row>
    <row r="16" spans="2:9" ht="12.75">
      <c r="B16" s="3"/>
      <c r="C16" s="62" t="s">
        <v>159</v>
      </c>
      <c r="D16" s="26"/>
      <c r="E16" s="26">
        <f>E15*$B$24</f>
        <v>-351</v>
      </c>
      <c r="F16" s="26">
        <f>F15*$B$24</f>
        <v>-351</v>
      </c>
      <c r="G16" s="26">
        <f>G15*$B$24</f>
        <v>-351</v>
      </c>
      <c r="H16" s="26">
        <f>H15*$B$24</f>
        <v>-420</v>
      </c>
      <c r="I16" s="59">
        <f>I15*$B$24</f>
        <v>-255</v>
      </c>
    </row>
    <row r="17" spans="1:11" ht="28.5">
      <c r="C17" s="63" t="s">
        <v>132</v>
      </c>
      <c r="D17" s="35"/>
      <c r="E17" s="35">
        <f>E15-E16</f>
        <v>-1989</v>
      </c>
      <c r="F17" s="35">
        <f>F15-F16</f>
        <v>-1989</v>
      </c>
      <c r="G17" s="35">
        <f>G15-G16</f>
        <v>-1989</v>
      </c>
      <c r="H17" s="35">
        <f>H15-H16</f>
        <v>-2380</v>
      </c>
      <c r="I17" s="64">
        <f>I15-I16</f>
        <v>-1445</v>
      </c>
    </row>
    <row r="18" spans="1:11" ht="12.75">
      <c r="C18" s="62" t="s">
        <v>133</v>
      </c>
      <c r="D18" s="26"/>
      <c r="E18" s="26">
        <f>-SUM(E12:E14)</f>
        <v>500</v>
      </c>
      <c r="F18" s="26">
        <f>-SUM(F12:F14)</f>
        <v>500</v>
      </c>
      <c r="G18" s="26">
        <f>-SUM(G12:G14)</f>
        <v>500</v>
      </c>
      <c r="H18" s="26">
        <f>-SUM(H12:H14)</f>
        <v>500</v>
      </c>
      <c r="I18" s="59">
        <f>-SUM(I12:I14)</f>
        <v>0</v>
      </c>
    </row>
    <row r="19" spans="1:11" ht="12.75">
      <c r="C19" s="47" t="s">
        <v>134</v>
      </c>
      <c r="D19" s="26"/>
      <c r="E19" s="26">
        <f>-D35</f>
        <v>0</v>
      </c>
      <c r="F19" s="26">
        <f>-D36</f>
        <v>0</v>
      </c>
      <c r="G19" s="26">
        <f>-D37</f>
        <v>0</v>
      </c>
      <c r="H19" s="26">
        <f>-D38</f>
        <v>0</v>
      </c>
      <c r="I19" s="59">
        <f>-D39</f>
        <v>0</v>
      </c>
    </row>
    <row r="20" spans="1:11" ht="12.75">
      <c r="C20" s="47" t="s">
        <v>135</v>
      </c>
      <c r="D20" s="26">
        <f>D21*0</f>
        <v>0</v>
      </c>
      <c r="E20" s="26"/>
      <c r="F20" s="26"/>
      <c r="G20" s="26"/>
      <c r="H20" s="26"/>
      <c r="I20" s="59"/>
    </row>
    <row r="21" spans="1:11" ht="12.75">
      <c r="C21" s="47" t="s">
        <v>158</v>
      </c>
      <c r="D21" s="26">
        <v>-2000</v>
      </c>
      <c r="E21" s="26"/>
      <c r="F21" s="26"/>
      <c r="G21" s="26"/>
      <c r="H21" s="26"/>
      <c r="I21" s="59"/>
      <c r="J21" s="71" t="s">
        <v>138</v>
      </c>
      <c r="K21" s="96">
        <v>0.1</v>
      </c>
    </row>
    <row r="22" spans="1:11" ht="14.25">
      <c r="C22" s="66" t="s">
        <v>139</v>
      </c>
      <c r="D22" s="67">
        <f t="shared" ref="D22:I22" si="0">SUM(D17:D21)</f>
        <v>-2000</v>
      </c>
      <c r="E22" s="67">
        <f t="shared" si="0"/>
        <v>-1489</v>
      </c>
      <c r="F22" s="67">
        <f t="shared" si="0"/>
        <v>-1489</v>
      </c>
      <c r="G22" s="67">
        <f t="shared" si="0"/>
        <v>-1489</v>
      </c>
      <c r="H22" s="67">
        <f t="shared" si="0"/>
        <v>-1880</v>
      </c>
      <c r="I22" s="68">
        <f t="shared" si="0"/>
        <v>-1445</v>
      </c>
      <c r="J22" s="97">
        <f t="array" ref="J22">D22+NPV(K21,E22:I22)</f>
        <v>-7884.2192224823175</v>
      </c>
    </row>
    <row r="23" spans="1:11" ht="14.25">
      <c r="D23" s="69"/>
      <c r="E23" s="70">
        <f>E22/(1+(0.1))^E24</f>
        <v>-1353.6363636363635</v>
      </c>
      <c r="F23" s="70">
        <f>F22/(1+(0.1))^F24</f>
        <v>-1230.5785123966941</v>
      </c>
      <c r="G23" s="70">
        <f>G22/(1+(0.1))^G24</f>
        <v>-1118.7077385424489</v>
      </c>
      <c r="H23" s="70">
        <f>H22/(1+(0.1))^H24</f>
        <v>-1284.0652960863326</v>
      </c>
      <c r="I23" s="70">
        <f>I22/(1+(0.1))^I24</f>
        <v>-897.23131182047894</v>
      </c>
      <c r="J23" s="5">
        <f>D22+SUM(E23:I23)</f>
        <v>-7884.2192224823184</v>
      </c>
    </row>
    <row r="24" spans="1:11" ht="12.75">
      <c r="A24" s="71" t="s">
        <v>160</v>
      </c>
      <c r="B24" s="98">
        <v>0.15</v>
      </c>
      <c r="E24" s="4">
        <v>1</v>
      </c>
      <c r="F24" s="4">
        <v>2</v>
      </c>
      <c r="G24" s="4">
        <v>3</v>
      </c>
      <c r="H24" s="4">
        <v>4</v>
      </c>
      <c r="I24" s="4">
        <v>5</v>
      </c>
    </row>
    <row r="26" spans="1:11" ht="12.75">
      <c r="A26" s="73" t="s">
        <v>0</v>
      </c>
      <c r="B26" s="74">
        <v>0.1</v>
      </c>
    </row>
    <row r="27" spans="1:11" ht="12.75">
      <c r="A27" s="75" t="s">
        <v>104</v>
      </c>
      <c r="B27" s="76">
        <v>12</v>
      </c>
    </row>
    <row r="28" spans="1:11" ht="12.75">
      <c r="A28" s="75"/>
      <c r="B28" s="76">
        <v>12</v>
      </c>
    </row>
    <row r="29" spans="1:11" ht="12.75">
      <c r="A29" s="75" t="s">
        <v>3</v>
      </c>
      <c r="B29" s="77">
        <f>((1+B26/B27)^B28)-1</f>
        <v>0.10471306744129683</v>
      </c>
    </row>
    <row r="30" spans="1:11" ht="12.75">
      <c r="A30" s="78" t="s">
        <v>104</v>
      </c>
      <c r="B30" s="79">
        <v>3</v>
      </c>
    </row>
    <row r="32" spans="1:11" ht="12.75">
      <c r="A32" s="1620" t="s">
        <v>103</v>
      </c>
      <c r="B32" s="1621"/>
      <c r="C32" s="1621"/>
      <c r="D32" s="1621"/>
      <c r="E32" s="1622"/>
      <c r="G32" s="1623" t="s">
        <v>179</v>
      </c>
      <c r="H32" s="1614"/>
    </row>
    <row r="33" spans="1:8" ht="12.75">
      <c r="A33" s="99" t="s">
        <v>105</v>
      </c>
      <c r="B33" s="100" t="s">
        <v>106</v>
      </c>
      <c r="C33" s="100" t="s">
        <v>102</v>
      </c>
      <c r="D33" s="100" t="s">
        <v>53</v>
      </c>
      <c r="E33" s="101" t="s">
        <v>107</v>
      </c>
      <c r="G33" s="21" t="s">
        <v>180</v>
      </c>
      <c r="H33" s="26">
        <v>0.8</v>
      </c>
    </row>
    <row r="34" spans="1:8" ht="12.75">
      <c r="A34" s="102">
        <v>0</v>
      </c>
      <c r="B34" s="103"/>
      <c r="C34" s="103"/>
      <c r="D34" s="103"/>
      <c r="E34" s="104">
        <f>D20</f>
        <v>0</v>
      </c>
      <c r="G34" s="21" t="s">
        <v>181</v>
      </c>
      <c r="H34" s="26">
        <v>3</v>
      </c>
    </row>
    <row r="35" spans="1:8" ht="12.75">
      <c r="A35" s="47">
        <v>1</v>
      </c>
      <c r="B35" s="26">
        <f>$E$34*($B$29/((1-(1+$B$29)^-$B$30)))</f>
        <v>0</v>
      </c>
      <c r="C35" s="26">
        <f>E34*$B$29</f>
        <v>0</v>
      </c>
      <c r="D35" s="26">
        <f>B35-C35</f>
        <v>0</v>
      </c>
      <c r="E35" s="59">
        <f>E34-D35</f>
        <v>0</v>
      </c>
      <c r="G35" s="21" t="s">
        <v>182</v>
      </c>
      <c r="H35" s="26">
        <v>5.4</v>
      </c>
    </row>
    <row r="36" spans="1:8" ht="12.75">
      <c r="A36" s="47">
        <v>2</v>
      </c>
      <c r="B36" s="26">
        <f>$E$34*($B$29/((1-(1+$B$29)^-$B$30)))</f>
        <v>0</v>
      </c>
      <c r="C36" s="26">
        <f>E35*$B$29</f>
        <v>0</v>
      </c>
      <c r="D36" s="26">
        <f>B36-C36</f>
        <v>0</v>
      </c>
      <c r="E36" s="59">
        <f>E35-D36</f>
        <v>0</v>
      </c>
      <c r="G36" s="21"/>
      <c r="H36" s="26"/>
    </row>
    <row r="37" spans="1:8" ht="12.75">
      <c r="A37" s="47">
        <v>3</v>
      </c>
      <c r="B37" s="26">
        <f>$E$34*($B$29/((1-(1+$B$29)^-$B$30)))</f>
        <v>0</v>
      </c>
      <c r="C37" s="26">
        <f>E36*$B$29</f>
        <v>0</v>
      </c>
      <c r="D37" s="26">
        <f>B37-C37</f>
        <v>0</v>
      </c>
      <c r="E37" s="59">
        <f>E36-D37</f>
        <v>0</v>
      </c>
      <c r="G37" s="21" t="s">
        <v>176</v>
      </c>
      <c r="H37" s="105">
        <f>SUM(H33:H36)</f>
        <v>9.1999999999999993</v>
      </c>
    </row>
    <row r="38" spans="1:8" ht="12.75">
      <c r="A38" s="47"/>
      <c r="B38" s="26"/>
      <c r="C38" s="26"/>
      <c r="D38" s="26"/>
      <c r="E38" s="59"/>
    </row>
    <row r="39" spans="1:8" ht="12.75">
      <c r="A39" s="50"/>
      <c r="B39" s="82"/>
      <c r="C39" s="82"/>
      <c r="D39" s="82"/>
      <c r="E39" s="83"/>
    </row>
    <row r="42" spans="1:8" ht="14.25">
      <c r="A42" s="40" t="s">
        <v>140</v>
      </c>
      <c r="B42" s="41" t="e">
        <f>(B44*B50)+ (B49*B51*(1-B48))</f>
        <v>#DIV/0!</v>
      </c>
      <c r="E42" s="1619" t="s">
        <v>150</v>
      </c>
      <c r="F42" s="1618"/>
    </row>
    <row r="43" spans="1:8" ht="15.75" customHeight="1">
      <c r="A43" s="42" t="s">
        <v>141</v>
      </c>
      <c r="B43" s="43" t="s">
        <v>142</v>
      </c>
      <c r="E43" s="47" t="s">
        <v>161</v>
      </c>
      <c r="F43" s="48">
        <v>0</v>
      </c>
    </row>
    <row r="44" spans="1:8" ht="15.75" customHeight="1">
      <c r="A44" s="44" t="s">
        <v>143</v>
      </c>
      <c r="B44" s="45">
        <f>B45+B46*(B47-B45)</f>
        <v>0</v>
      </c>
      <c r="E44" s="47" t="s">
        <v>162</v>
      </c>
      <c r="F44" s="48">
        <v>0</v>
      </c>
    </row>
    <row r="45" spans="1:8" ht="15.75" customHeight="1">
      <c r="A45" s="44" t="s">
        <v>144</v>
      </c>
      <c r="B45" s="46">
        <v>0</v>
      </c>
      <c r="C45" s="4" t="s">
        <v>145</v>
      </c>
      <c r="E45" s="47" t="s">
        <v>163</v>
      </c>
      <c r="F45" s="49">
        <v>0</v>
      </c>
    </row>
    <row r="46" spans="1:8" ht="12.75">
      <c r="A46" s="47" t="s">
        <v>7</v>
      </c>
      <c r="B46" s="48">
        <v>0</v>
      </c>
      <c r="E46" s="47" t="s">
        <v>164</v>
      </c>
      <c r="F46" s="49">
        <v>0</v>
      </c>
    </row>
    <row r="47" spans="1:8" ht="12.75">
      <c r="A47" s="47" t="s">
        <v>146</v>
      </c>
      <c r="B47" s="49">
        <v>0</v>
      </c>
      <c r="C47" s="4" t="s">
        <v>147</v>
      </c>
      <c r="E47" s="85" t="s">
        <v>165</v>
      </c>
      <c r="F47" s="86" t="e">
        <f>F46*(F43/F61)+F45*(F44/F61)</f>
        <v>#DIV/0!</v>
      </c>
    </row>
    <row r="48" spans="1:8" ht="12.75">
      <c r="A48" s="47" t="s">
        <v>148</v>
      </c>
      <c r="B48" s="87">
        <f>B24</f>
        <v>0.15</v>
      </c>
      <c r="C48" s="4" t="s">
        <v>149</v>
      </c>
      <c r="D48" s="4"/>
      <c r="E48" s="4"/>
    </row>
    <row r="49" spans="1:6" ht="12.75">
      <c r="A49" s="47" t="s">
        <v>150</v>
      </c>
      <c r="B49" s="87" t="e">
        <f>F47</f>
        <v>#DIV/0!</v>
      </c>
      <c r="C49" s="4" t="s">
        <v>151</v>
      </c>
      <c r="D49" s="4"/>
      <c r="E49" s="4"/>
    </row>
    <row r="50" spans="1:6" ht="14.25">
      <c r="A50" s="47" t="s">
        <v>152</v>
      </c>
      <c r="B50" s="87" t="e">
        <f>F54</f>
        <v>#DIV/0!</v>
      </c>
      <c r="C50" s="4" t="s">
        <v>153</v>
      </c>
      <c r="E50" s="1619" t="s">
        <v>166</v>
      </c>
      <c r="F50" s="1618"/>
    </row>
    <row r="51" spans="1:6" ht="12.75">
      <c r="A51" s="50" t="s">
        <v>154</v>
      </c>
      <c r="B51" s="88" t="e">
        <f>F55</f>
        <v>#DIV/0!</v>
      </c>
      <c r="C51" s="4" t="s">
        <v>155</v>
      </c>
      <c r="E51" s="47" t="s">
        <v>107</v>
      </c>
      <c r="F51" s="48">
        <v>0</v>
      </c>
    </row>
    <row r="52" spans="1:6" ht="12.75">
      <c r="E52" s="47" t="s">
        <v>167</v>
      </c>
      <c r="F52" s="48">
        <v>0</v>
      </c>
    </row>
    <row r="53" spans="1:6" ht="12.75">
      <c r="E53" s="47" t="s">
        <v>168</v>
      </c>
      <c r="F53" s="48">
        <v>0</v>
      </c>
    </row>
    <row r="54" spans="1:6" ht="12.75">
      <c r="E54" s="47" t="s">
        <v>170</v>
      </c>
      <c r="F54" s="87" t="e">
        <f>SUM(F51:F52)/F53</f>
        <v>#DIV/0!</v>
      </c>
    </row>
    <row r="55" spans="1:6" ht="12.75">
      <c r="E55" s="50" t="s">
        <v>171</v>
      </c>
      <c r="F55" s="88" t="e">
        <f>1-F54</f>
        <v>#DIV/0!</v>
      </c>
    </row>
    <row r="57" spans="1:6" ht="12.75">
      <c r="E57" s="91" t="s">
        <v>172</v>
      </c>
      <c r="F57" s="92"/>
    </row>
    <row r="58" spans="1:6" ht="12.75">
      <c r="E58" s="47" t="s">
        <v>173</v>
      </c>
      <c r="F58" s="48">
        <v>0</v>
      </c>
    </row>
    <row r="59" spans="1:6" ht="12.75">
      <c r="E59" s="47" t="s">
        <v>174</v>
      </c>
      <c r="F59" s="48">
        <v>0</v>
      </c>
    </row>
    <row r="60" spans="1:6" ht="12.75">
      <c r="E60" s="47" t="s">
        <v>175</v>
      </c>
      <c r="F60" s="48">
        <v>0</v>
      </c>
    </row>
    <row r="61" spans="1:6" ht="12.75">
      <c r="E61" s="85" t="s">
        <v>176</v>
      </c>
      <c r="F61" s="93">
        <f>SUM(F58:F60)</f>
        <v>0</v>
      </c>
    </row>
  </sheetData>
  <mergeCells count="4">
    <mergeCell ref="A32:E32"/>
    <mergeCell ref="G32:H32"/>
    <mergeCell ref="E42:F42"/>
    <mergeCell ref="E50:F50"/>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K61"/>
  <sheetViews>
    <sheetView topLeftCell="A17" workbookViewId="0">
      <selection activeCell="H28" sqref="H28"/>
    </sheetView>
  </sheetViews>
  <sheetFormatPr defaultColWidth="14.42578125" defaultRowHeight="15.75" customHeight="1"/>
  <cols>
    <col min="1" max="1" width="23.42578125" customWidth="1"/>
    <col min="3" max="3" width="36.42578125" customWidth="1"/>
    <col min="5" max="5" width="29.7109375" customWidth="1"/>
    <col min="7" max="7" width="17.85546875" customWidth="1"/>
    <col min="8" max="8" width="10.28515625" bestFit="1" customWidth="1"/>
    <col min="10" max="10" width="33" customWidth="1"/>
  </cols>
  <sheetData>
    <row r="1" spans="2:9" ht="12.75">
      <c r="C1" s="54" t="s">
        <v>27</v>
      </c>
      <c r="D1" s="55" t="s">
        <v>112</v>
      </c>
      <c r="E1" s="55" t="s">
        <v>113</v>
      </c>
      <c r="F1" s="55" t="s">
        <v>114</v>
      </c>
      <c r="G1" s="55" t="s">
        <v>115</v>
      </c>
      <c r="H1" s="55" t="s">
        <v>116</v>
      </c>
      <c r="I1" s="56" t="s">
        <v>117</v>
      </c>
    </row>
    <row r="2" spans="2:9" ht="12.75">
      <c r="C2" s="94" t="s">
        <v>177</v>
      </c>
      <c r="D2" s="95"/>
      <c r="E2" s="95">
        <v>200</v>
      </c>
      <c r="F2" s="95">
        <f>E2</f>
        <v>200</v>
      </c>
      <c r="G2" s="95">
        <f>F2</f>
        <v>200</v>
      </c>
      <c r="H2" s="95">
        <f>G2*1.25</f>
        <v>250</v>
      </c>
      <c r="I2" s="95">
        <v>250</v>
      </c>
    </row>
    <row r="3" spans="2:9" ht="12.75">
      <c r="C3" s="57" t="s">
        <v>118</v>
      </c>
      <c r="D3" s="29"/>
      <c r="E3" s="29"/>
      <c r="F3" s="29"/>
      <c r="G3" s="29"/>
      <c r="H3" s="29"/>
      <c r="I3" s="58"/>
    </row>
    <row r="4" spans="2:9" ht="12.75">
      <c r="C4" s="47" t="s">
        <v>119</v>
      </c>
      <c r="D4" s="26"/>
      <c r="E4" s="26">
        <v>0</v>
      </c>
      <c r="F4" s="26">
        <v>0</v>
      </c>
      <c r="G4" s="26">
        <v>0</v>
      </c>
      <c r="H4" s="26">
        <v>0</v>
      </c>
      <c r="I4" s="59">
        <v>0</v>
      </c>
    </row>
    <row r="5" spans="2:9" ht="12.75">
      <c r="C5" s="47" t="s">
        <v>178</v>
      </c>
      <c r="D5" s="26"/>
      <c r="E5" s="26"/>
      <c r="F5" s="26"/>
      <c r="G5" s="26"/>
      <c r="H5" s="26"/>
      <c r="I5" s="59">
        <f>-D21*0.5</f>
        <v>1750</v>
      </c>
    </row>
    <row r="6" spans="2:9" ht="12.75">
      <c r="C6" s="47" t="s">
        <v>120</v>
      </c>
      <c r="D6" s="26"/>
      <c r="E6" s="26">
        <v>0</v>
      </c>
      <c r="F6" s="26">
        <v>0</v>
      </c>
      <c r="G6" s="26">
        <v>0</v>
      </c>
      <c r="H6" s="26">
        <v>0</v>
      </c>
      <c r="I6" s="59">
        <v>0</v>
      </c>
    </row>
    <row r="7" spans="2:9" ht="12.75">
      <c r="C7" s="57" t="s">
        <v>121</v>
      </c>
      <c r="D7" s="29"/>
      <c r="E7" s="29"/>
      <c r="F7" s="29"/>
      <c r="G7" s="29"/>
      <c r="H7" s="29"/>
      <c r="I7" s="58"/>
    </row>
    <row r="8" spans="2:9" ht="12.75">
      <c r="C8" s="47" t="s">
        <v>122</v>
      </c>
      <c r="D8" s="26"/>
      <c r="E8" s="26">
        <f>-C35</f>
        <v>0</v>
      </c>
      <c r="F8" s="26">
        <f>-C36</f>
        <v>0</v>
      </c>
      <c r="G8" s="26">
        <f>-C37</f>
        <v>0</v>
      </c>
      <c r="H8" s="26">
        <f>-C38</f>
        <v>0</v>
      </c>
      <c r="I8" s="59">
        <f>-C39</f>
        <v>0</v>
      </c>
    </row>
    <row r="9" spans="2:9" ht="12.75">
      <c r="C9" s="47" t="s">
        <v>123</v>
      </c>
      <c r="D9" s="26"/>
      <c r="E9" s="26">
        <f>-E2*$H37</f>
        <v>-1639.9999999999998</v>
      </c>
      <c r="F9" s="26">
        <f>-F2*$H37</f>
        <v>-1639.9999999999998</v>
      </c>
      <c r="G9" s="26">
        <f>-G2*$H37</f>
        <v>-1639.9999999999998</v>
      </c>
      <c r="H9" s="26">
        <f>-H2*$H37</f>
        <v>-2050</v>
      </c>
      <c r="I9" s="26">
        <f>-(I2*$H37)*0.9</f>
        <v>-1845</v>
      </c>
    </row>
    <row r="10" spans="2:9" ht="12.75">
      <c r="C10" s="47" t="s">
        <v>124</v>
      </c>
      <c r="D10" s="26"/>
      <c r="E10" s="26"/>
      <c r="F10" s="26"/>
      <c r="G10" s="26"/>
      <c r="H10" s="26"/>
      <c r="I10" s="59"/>
    </row>
    <row r="11" spans="2:9" ht="12.75">
      <c r="C11" s="57" t="s">
        <v>125</v>
      </c>
      <c r="D11" s="29"/>
      <c r="E11" s="29"/>
      <c r="F11" s="29"/>
      <c r="G11" s="29"/>
      <c r="H11" s="29"/>
      <c r="I11" s="58"/>
    </row>
    <row r="12" spans="2:9" ht="12.75">
      <c r="C12" s="47" t="s">
        <v>156</v>
      </c>
      <c r="D12" s="26"/>
      <c r="E12" s="26">
        <f>$D$21/4</f>
        <v>-875</v>
      </c>
      <c r="F12" s="26">
        <f>$D$21/4</f>
        <v>-875</v>
      </c>
      <c r="G12" s="26">
        <f>$D$21/4</f>
        <v>-875</v>
      </c>
      <c r="H12" s="26">
        <f>$D$21/4</f>
        <v>-875</v>
      </c>
      <c r="I12" s="59">
        <v>0</v>
      </c>
    </row>
    <row r="13" spans="2:9" ht="12.75">
      <c r="C13" s="47" t="s">
        <v>129</v>
      </c>
      <c r="D13" s="26"/>
      <c r="E13" s="26">
        <v>0</v>
      </c>
      <c r="F13" s="26">
        <v>0</v>
      </c>
      <c r="G13" s="26">
        <f>$G$21/5</f>
        <v>0</v>
      </c>
      <c r="H13" s="26">
        <v>0</v>
      </c>
      <c r="I13" s="59">
        <v>0</v>
      </c>
    </row>
    <row r="14" spans="2:9" ht="12.75">
      <c r="C14" s="47" t="s">
        <v>70</v>
      </c>
      <c r="D14" s="26"/>
      <c r="E14" s="26">
        <v>0</v>
      </c>
      <c r="F14" s="26">
        <v>0</v>
      </c>
      <c r="G14" s="26">
        <v>0</v>
      </c>
      <c r="H14" s="26">
        <v>0</v>
      </c>
      <c r="I14" s="59">
        <v>0</v>
      </c>
    </row>
    <row r="15" spans="2:9" ht="14.25">
      <c r="C15" s="60" t="s">
        <v>130</v>
      </c>
      <c r="D15" s="32"/>
      <c r="E15" s="32">
        <f>SUM(E3:E14)</f>
        <v>-2515</v>
      </c>
      <c r="F15" s="32">
        <f>SUM(F3:F14)</f>
        <v>-2515</v>
      </c>
      <c r="G15" s="32">
        <f>SUM(G3:G14)</f>
        <v>-2515</v>
      </c>
      <c r="H15" s="32">
        <f>SUM(H3:H14)</f>
        <v>-2925</v>
      </c>
      <c r="I15" s="61">
        <f>SUM(I3:I14)</f>
        <v>-95</v>
      </c>
    </row>
    <row r="16" spans="2:9" ht="12.75">
      <c r="B16" s="3"/>
      <c r="C16" s="62" t="s">
        <v>159</v>
      </c>
      <c r="D16" s="26"/>
      <c r="E16" s="26">
        <f>E15*$B$24</f>
        <v>-377.25</v>
      </c>
      <c r="F16" s="26">
        <f>F15*$B$24</f>
        <v>-377.25</v>
      </c>
      <c r="G16" s="26">
        <f>G15*$B$24</f>
        <v>-377.25</v>
      </c>
      <c r="H16" s="26">
        <f>H15*$B$24</f>
        <v>-438.75</v>
      </c>
      <c r="I16" s="59">
        <f>I15*$B$24</f>
        <v>-14.25</v>
      </c>
    </row>
    <row r="17" spans="1:11" ht="28.5">
      <c r="C17" s="63" t="s">
        <v>132</v>
      </c>
      <c r="D17" s="35"/>
      <c r="E17" s="35">
        <f>E15-E16</f>
        <v>-2137.75</v>
      </c>
      <c r="F17" s="35">
        <f>F15-F16</f>
        <v>-2137.75</v>
      </c>
      <c r="G17" s="35">
        <f>G15-G16</f>
        <v>-2137.75</v>
      </c>
      <c r="H17" s="35">
        <f>H15-H16</f>
        <v>-2486.25</v>
      </c>
      <c r="I17" s="64">
        <f>I15-I16</f>
        <v>-80.75</v>
      </c>
    </row>
    <row r="18" spans="1:11" ht="12.75">
      <c r="C18" s="62" t="s">
        <v>133</v>
      </c>
      <c r="D18" s="26"/>
      <c r="E18" s="26">
        <f>-SUM(E12:E14)</f>
        <v>875</v>
      </c>
      <c r="F18" s="26">
        <f>-SUM(F12:F14)</f>
        <v>875</v>
      </c>
      <c r="G18" s="26">
        <f>-SUM(G12:G14)</f>
        <v>875</v>
      </c>
      <c r="H18" s="26">
        <f>-SUM(H12:H14)</f>
        <v>875</v>
      </c>
      <c r="I18" s="59">
        <f>-SUM(I12:I14)</f>
        <v>0</v>
      </c>
    </row>
    <row r="19" spans="1:11" ht="12.75">
      <c r="C19" s="47" t="s">
        <v>134</v>
      </c>
      <c r="D19" s="26"/>
      <c r="E19" s="26">
        <f>-D35</f>
        <v>0</v>
      </c>
      <c r="F19" s="26">
        <f>-D36</f>
        <v>0</v>
      </c>
      <c r="G19" s="26">
        <f>-D37</f>
        <v>0</v>
      </c>
      <c r="H19" s="26">
        <f>-D38</f>
        <v>0</v>
      </c>
      <c r="I19" s="59">
        <f>-D39</f>
        <v>0</v>
      </c>
    </row>
    <row r="20" spans="1:11" ht="12.75">
      <c r="C20" s="47" t="s">
        <v>135</v>
      </c>
      <c r="D20" s="26">
        <f>D21*0</f>
        <v>0</v>
      </c>
      <c r="E20" s="26"/>
      <c r="F20" s="26"/>
      <c r="G20" s="26"/>
      <c r="H20" s="26"/>
      <c r="I20" s="59"/>
    </row>
    <row r="21" spans="1:11" ht="12.75">
      <c r="C21" s="47" t="s">
        <v>158</v>
      </c>
      <c r="D21" s="26">
        <v>-3500</v>
      </c>
      <c r="E21" s="26"/>
      <c r="F21" s="26"/>
      <c r="G21" s="26"/>
      <c r="H21" s="26"/>
      <c r="I21" s="59"/>
      <c r="J21" s="71" t="s">
        <v>29</v>
      </c>
      <c r="K21" s="96">
        <v>0.1</v>
      </c>
    </row>
    <row r="22" spans="1:11" ht="14.25">
      <c r="C22" s="66" t="s">
        <v>139</v>
      </c>
      <c r="D22" s="67">
        <f t="shared" ref="D22:I22" si="0">SUM(D17:D21)</f>
        <v>-3500</v>
      </c>
      <c r="E22" s="67">
        <f t="shared" si="0"/>
        <v>-1262.75</v>
      </c>
      <c r="F22" s="67">
        <f t="shared" si="0"/>
        <v>-1262.75</v>
      </c>
      <c r="G22" s="67">
        <f t="shared" si="0"/>
        <v>-1262.75</v>
      </c>
      <c r="H22" s="67">
        <f t="shared" si="0"/>
        <v>-1611.25</v>
      </c>
      <c r="I22" s="68">
        <f t="shared" si="0"/>
        <v>-80.75</v>
      </c>
      <c r="J22" s="97">
        <f t="array" ref="J22">D22+NPV(K21,E22:I22)</f>
        <v>-7790.9171784093223</v>
      </c>
    </row>
    <row r="23" spans="1:11" ht="14.25">
      <c r="D23" s="69"/>
      <c r="E23" s="69"/>
      <c r="F23" s="69"/>
      <c r="G23" s="69"/>
      <c r="H23" s="69"/>
      <c r="I23" s="69"/>
      <c r="J23" s="2" t="s">
        <v>183</v>
      </c>
      <c r="K23" s="6">
        <f>J22-'Ejercicio 34 Alternativa 1'!J22</f>
        <v>93.302044072995159</v>
      </c>
    </row>
    <row r="24" spans="1:11" ht="12.75">
      <c r="A24" s="71" t="s">
        <v>160</v>
      </c>
      <c r="B24" s="98">
        <v>0.15</v>
      </c>
    </row>
    <row r="26" spans="1:11" ht="12.75">
      <c r="A26" s="73" t="s">
        <v>0</v>
      </c>
      <c r="B26" s="74">
        <v>0.1</v>
      </c>
    </row>
    <row r="27" spans="1:11" ht="12.75">
      <c r="A27" s="75" t="s">
        <v>104</v>
      </c>
      <c r="B27" s="76">
        <v>12</v>
      </c>
    </row>
    <row r="28" spans="1:11" ht="12.75">
      <c r="A28" s="75"/>
      <c r="B28" s="76">
        <v>12</v>
      </c>
    </row>
    <row r="29" spans="1:11" ht="12.75">
      <c r="A29" s="75" t="s">
        <v>3</v>
      </c>
      <c r="B29" s="77">
        <f>((1+B26/B27)^B28)-1</f>
        <v>0.10471306744129683</v>
      </c>
    </row>
    <row r="30" spans="1:11" ht="12.75">
      <c r="A30" s="78" t="s">
        <v>104</v>
      </c>
      <c r="B30" s="79">
        <v>3</v>
      </c>
    </row>
    <row r="32" spans="1:11" ht="12.75">
      <c r="A32" s="1620" t="s">
        <v>103</v>
      </c>
      <c r="B32" s="1621"/>
      <c r="C32" s="1621"/>
      <c r="D32" s="1621"/>
      <c r="E32" s="1622"/>
      <c r="G32" s="1623" t="s">
        <v>179</v>
      </c>
      <c r="H32" s="1614"/>
    </row>
    <row r="33" spans="1:8" ht="12.75">
      <c r="A33" s="99" t="s">
        <v>105</v>
      </c>
      <c r="B33" s="100" t="s">
        <v>106</v>
      </c>
      <c r="C33" s="100" t="s">
        <v>102</v>
      </c>
      <c r="D33" s="100" t="s">
        <v>53</v>
      </c>
      <c r="E33" s="101" t="s">
        <v>107</v>
      </c>
      <c r="G33" s="21" t="s">
        <v>180</v>
      </c>
      <c r="H33" s="26">
        <v>0.5</v>
      </c>
    </row>
    <row r="34" spans="1:8" ht="12.75">
      <c r="A34" s="102">
        <v>0</v>
      </c>
      <c r="B34" s="103"/>
      <c r="C34" s="103"/>
      <c r="D34" s="103"/>
      <c r="E34" s="104">
        <f>D20</f>
        <v>0</v>
      </c>
      <c r="G34" s="21" t="s">
        <v>181</v>
      </c>
      <c r="H34" s="26">
        <v>2.5</v>
      </c>
    </row>
    <row r="35" spans="1:8" ht="12.75">
      <c r="A35" s="47">
        <v>1</v>
      </c>
      <c r="B35" s="26">
        <f>$E$34*($B$29/((1-(1+$B$29)^-$B$30)))</f>
        <v>0</v>
      </c>
      <c r="C35" s="26">
        <f>E34*$B$29</f>
        <v>0</v>
      </c>
      <c r="D35" s="26">
        <f>B35-C35</f>
        <v>0</v>
      </c>
      <c r="E35" s="59">
        <f>E34-D35</f>
        <v>0</v>
      </c>
      <c r="G35" s="21" t="s">
        <v>182</v>
      </c>
      <c r="H35" s="26">
        <v>5.2</v>
      </c>
    </row>
    <row r="36" spans="1:8" ht="12.75">
      <c r="A36" s="47">
        <v>2</v>
      </c>
      <c r="B36" s="26">
        <f>$E$34*($B$29/((1-(1+$B$29)^-$B$30)))</f>
        <v>0</v>
      </c>
      <c r="C36" s="26">
        <f>E35*$B$29</f>
        <v>0</v>
      </c>
      <c r="D36" s="26">
        <f>B36-C36</f>
        <v>0</v>
      </c>
      <c r="E36" s="59">
        <f>E35-D36</f>
        <v>0</v>
      </c>
      <c r="G36" s="21"/>
      <c r="H36" s="26"/>
    </row>
    <row r="37" spans="1:8" ht="12.75">
      <c r="A37" s="47">
        <v>3</v>
      </c>
      <c r="B37" s="26">
        <f>$E$34*($B$29/((1-(1+$B$29)^-$B$30)))</f>
        <v>0</v>
      </c>
      <c r="C37" s="26">
        <f>E36*$B$29</f>
        <v>0</v>
      </c>
      <c r="D37" s="26">
        <f>B37-C37</f>
        <v>0</v>
      </c>
      <c r="E37" s="59">
        <f>E36-D37</f>
        <v>0</v>
      </c>
      <c r="G37" s="21" t="s">
        <v>176</v>
      </c>
      <c r="H37" s="105">
        <f>SUM(H33:H36)</f>
        <v>8.1999999999999993</v>
      </c>
    </row>
    <row r="38" spans="1:8" ht="12.75">
      <c r="A38" s="47"/>
      <c r="B38" s="26"/>
      <c r="C38" s="26"/>
      <c r="D38" s="26"/>
      <c r="E38" s="59"/>
    </row>
    <row r="39" spans="1:8" ht="12.75">
      <c r="A39" s="50"/>
      <c r="B39" s="82"/>
      <c r="C39" s="82"/>
      <c r="D39" s="82"/>
      <c r="E39" s="83"/>
    </row>
    <row r="42" spans="1:8" ht="14.25">
      <c r="A42" s="40" t="s">
        <v>140</v>
      </c>
      <c r="B42" s="41" t="e">
        <f>(B44*B50)+ (B49*B51*(1-B48))</f>
        <v>#DIV/0!</v>
      </c>
      <c r="E42" s="1619" t="s">
        <v>150</v>
      </c>
      <c r="F42" s="1618"/>
    </row>
    <row r="43" spans="1:8" ht="15.75" customHeight="1">
      <c r="A43" s="42" t="s">
        <v>141</v>
      </c>
      <c r="B43" s="43" t="s">
        <v>142</v>
      </c>
      <c r="E43" s="47" t="s">
        <v>161</v>
      </c>
      <c r="F43" s="48">
        <v>0</v>
      </c>
    </row>
    <row r="44" spans="1:8" ht="15.75" customHeight="1">
      <c r="A44" s="44" t="s">
        <v>143</v>
      </c>
      <c r="B44" s="45">
        <f>B45+B46*(B47-B45)</f>
        <v>0</v>
      </c>
      <c r="E44" s="47" t="s">
        <v>162</v>
      </c>
      <c r="F44" s="48">
        <v>0</v>
      </c>
    </row>
    <row r="45" spans="1:8" ht="15.75" customHeight="1">
      <c r="A45" s="44" t="s">
        <v>144</v>
      </c>
      <c r="B45" s="46">
        <v>0</v>
      </c>
      <c r="C45" s="4" t="s">
        <v>145</v>
      </c>
      <c r="E45" s="47" t="s">
        <v>163</v>
      </c>
      <c r="F45" s="49">
        <v>0</v>
      </c>
    </row>
    <row r="46" spans="1:8" ht="12.75">
      <c r="A46" s="47" t="s">
        <v>7</v>
      </c>
      <c r="B46" s="48">
        <v>0</v>
      </c>
      <c r="E46" s="47" t="s">
        <v>164</v>
      </c>
      <c r="F46" s="49">
        <v>0</v>
      </c>
    </row>
    <row r="47" spans="1:8" ht="12.75">
      <c r="A47" s="47" t="s">
        <v>146</v>
      </c>
      <c r="B47" s="49">
        <v>0</v>
      </c>
      <c r="C47" s="4" t="s">
        <v>147</v>
      </c>
      <c r="E47" s="85" t="s">
        <v>165</v>
      </c>
      <c r="F47" s="86" t="e">
        <f>F46*(F43/F61)+F45*(F44/F61)</f>
        <v>#DIV/0!</v>
      </c>
    </row>
    <row r="48" spans="1:8" ht="12.75">
      <c r="A48" s="47" t="s">
        <v>148</v>
      </c>
      <c r="B48" s="87">
        <f>B24</f>
        <v>0.15</v>
      </c>
      <c r="C48" s="4" t="s">
        <v>149</v>
      </c>
      <c r="D48" s="4"/>
      <c r="E48" s="4"/>
    </row>
    <row r="49" spans="1:6" ht="12.75">
      <c r="A49" s="47" t="s">
        <v>150</v>
      </c>
      <c r="B49" s="87" t="e">
        <f>F47</f>
        <v>#DIV/0!</v>
      </c>
      <c r="C49" s="4" t="s">
        <v>151</v>
      </c>
      <c r="D49" s="4"/>
      <c r="E49" s="4"/>
    </row>
    <row r="50" spans="1:6" ht="14.25">
      <c r="A50" s="47" t="s">
        <v>152</v>
      </c>
      <c r="B50" s="87" t="e">
        <f>F54</f>
        <v>#DIV/0!</v>
      </c>
      <c r="C50" s="4" t="s">
        <v>153</v>
      </c>
      <c r="E50" s="1619" t="s">
        <v>166</v>
      </c>
      <c r="F50" s="1618"/>
    </row>
    <row r="51" spans="1:6" ht="12.75">
      <c r="A51" s="50" t="s">
        <v>154</v>
      </c>
      <c r="B51" s="88" t="e">
        <f>F55</f>
        <v>#DIV/0!</v>
      </c>
      <c r="C51" s="4" t="s">
        <v>155</v>
      </c>
      <c r="E51" s="47" t="s">
        <v>107</v>
      </c>
      <c r="F51" s="48">
        <v>0</v>
      </c>
    </row>
    <row r="52" spans="1:6" ht="12.75">
      <c r="E52" s="47" t="s">
        <v>167</v>
      </c>
      <c r="F52" s="48">
        <v>0</v>
      </c>
    </row>
    <row r="53" spans="1:6" ht="12.75">
      <c r="E53" s="47" t="s">
        <v>168</v>
      </c>
      <c r="F53" s="48">
        <v>0</v>
      </c>
    </row>
    <row r="54" spans="1:6" ht="12.75">
      <c r="E54" s="47" t="s">
        <v>170</v>
      </c>
      <c r="F54" s="87" t="e">
        <f>SUM(F51:F52)/F53</f>
        <v>#DIV/0!</v>
      </c>
    </row>
    <row r="55" spans="1:6" ht="12.75">
      <c r="E55" s="50" t="s">
        <v>171</v>
      </c>
      <c r="F55" s="88" t="e">
        <f>1-F54</f>
        <v>#DIV/0!</v>
      </c>
    </row>
    <row r="57" spans="1:6" ht="12.75">
      <c r="E57" s="91" t="s">
        <v>172</v>
      </c>
      <c r="F57" s="92"/>
    </row>
    <row r="58" spans="1:6" ht="12.75">
      <c r="E58" s="47" t="s">
        <v>173</v>
      </c>
      <c r="F58" s="48">
        <v>0</v>
      </c>
    </row>
    <row r="59" spans="1:6" ht="12.75">
      <c r="E59" s="47" t="s">
        <v>174</v>
      </c>
      <c r="F59" s="48">
        <v>0</v>
      </c>
    </row>
    <row r="60" spans="1:6" ht="12.75">
      <c r="E60" s="47" t="s">
        <v>175</v>
      </c>
      <c r="F60" s="48">
        <v>0</v>
      </c>
    </row>
    <row r="61" spans="1:6" ht="12.75">
      <c r="E61" s="85" t="s">
        <v>176</v>
      </c>
      <c r="F61" s="93">
        <f>SUM(F58:F60)</f>
        <v>0</v>
      </c>
    </row>
  </sheetData>
  <mergeCells count="4">
    <mergeCell ref="A32:E32"/>
    <mergeCell ref="G32:H32"/>
    <mergeCell ref="E42:F42"/>
    <mergeCell ref="E50:F50"/>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N63"/>
  <sheetViews>
    <sheetView workbookViewId="0">
      <selection activeCell="D43" sqref="D43"/>
    </sheetView>
  </sheetViews>
  <sheetFormatPr defaultColWidth="14.42578125" defaultRowHeight="15.75" customHeight="1"/>
  <cols>
    <col min="1" max="1" width="23.5703125" customWidth="1"/>
    <col min="2" max="2" width="10.85546875" customWidth="1"/>
    <col min="3" max="3" width="36.42578125" customWidth="1"/>
    <col min="4" max="4" width="12.85546875" customWidth="1"/>
    <col min="5" max="5" width="29.85546875" customWidth="1"/>
    <col min="6" max="6" width="12.5703125" customWidth="1"/>
    <col min="7" max="7" width="20" customWidth="1"/>
    <col min="8" max="9" width="12.5703125" customWidth="1"/>
    <col min="10" max="10" width="11.140625" customWidth="1"/>
    <col min="11" max="11" width="7.5703125" customWidth="1"/>
  </cols>
  <sheetData>
    <row r="1" spans="3:14" ht="12.75">
      <c r="C1" s="106" t="s">
        <v>27</v>
      </c>
      <c r="D1" s="107" t="s">
        <v>112</v>
      </c>
      <c r="E1" s="107" t="s">
        <v>113</v>
      </c>
      <c r="F1" s="107" t="s">
        <v>114</v>
      </c>
      <c r="G1" s="107" t="s">
        <v>115</v>
      </c>
      <c r="H1" s="107" t="s">
        <v>116</v>
      </c>
      <c r="I1" s="108" t="s">
        <v>117</v>
      </c>
    </row>
    <row r="2" spans="3:14" ht="12.75">
      <c r="C2" s="109" t="s">
        <v>177</v>
      </c>
      <c r="D2" s="110"/>
      <c r="E2" s="110">
        <v>800</v>
      </c>
      <c r="F2" s="110">
        <f>E2</f>
        <v>800</v>
      </c>
      <c r="G2" s="110">
        <f>F2</f>
        <v>800</v>
      </c>
      <c r="H2" s="110">
        <v>800</v>
      </c>
      <c r="I2" s="111">
        <v>800</v>
      </c>
    </row>
    <row r="3" spans="3:14" ht="12.75">
      <c r="C3" s="57" t="s">
        <v>118</v>
      </c>
      <c r="D3" s="29"/>
      <c r="E3" s="29"/>
      <c r="F3" s="29"/>
      <c r="G3" s="29"/>
      <c r="H3" s="29"/>
      <c r="I3" s="58"/>
    </row>
    <row r="4" spans="3:14" ht="12.75">
      <c r="C4" s="47" t="s">
        <v>184</v>
      </c>
      <c r="D4" s="26"/>
      <c r="E4" s="26">
        <f>E2*255</f>
        <v>204000</v>
      </c>
      <c r="F4" s="26">
        <f>F2*255</f>
        <v>204000</v>
      </c>
      <c r="G4" s="26">
        <f>G2*255</f>
        <v>204000</v>
      </c>
      <c r="H4" s="26">
        <f>H2*255</f>
        <v>204000</v>
      </c>
      <c r="I4" s="59">
        <f>I2*255</f>
        <v>204000</v>
      </c>
    </row>
    <row r="5" spans="3:14" ht="12.75">
      <c r="C5" s="47" t="s">
        <v>178</v>
      </c>
      <c r="D5" s="26"/>
      <c r="E5" s="26"/>
      <c r="F5" s="26"/>
      <c r="G5" s="26"/>
      <c r="H5" s="26"/>
      <c r="I5" s="59">
        <f>(80000+15000)/2</f>
        <v>47500</v>
      </c>
      <c r="N5" s="4">
        <v>15000</v>
      </c>
    </row>
    <row r="6" spans="3:14" ht="12.75">
      <c r="C6" s="47" t="s">
        <v>119</v>
      </c>
      <c r="D6" s="26"/>
      <c r="E6" s="26">
        <v>0</v>
      </c>
      <c r="F6" s="26">
        <v>0</v>
      </c>
      <c r="G6" s="26">
        <v>0</v>
      </c>
      <c r="H6" s="26">
        <v>0</v>
      </c>
      <c r="I6" s="59">
        <v>0</v>
      </c>
    </row>
    <row r="7" spans="3:14" ht="12.75">
      <c r="C7" s="47" t="s">
        <v>120</v>
      </c>
      <c r="D7" s="26"/>
      <c r="E7" s="26">
        <v>0</v>
      </c>
      <c r="F7" s="26">
        <v>0</v>
      </c>
      <c r="G7" s="26">
        <v>0</v>
      </c>
      <c r="H7" s="26">
        <v>0</v>
      </c>
      <c r="I7" s="59">
        <v>0</v>
      </c>
    </row>
    <row r="8" spans="3:14" ht="12.75">
      <c r="C8" s="57" t="s">
        <v>121</v>
      </c>
      <c r="D8" s="29"/>
      <c r="E8" s="29"/>
      <c r="F8" s="29"/>
      <c r="G8" s="29"/>
      <c r="H8" s="29"/>
      <c r="I8" s="58"/>
    </row>
    <row r="9" spans="3:14" ht="12.75">
      <c r="C9" s="47" t="s">
        <v>122</v>
      </c>
      <c r="D9" s="26"/>
      <c r="E9" s="26">
        <f>-C37</f>
        <v>-12692.033203125045</v>
      </c>
      <c r="F9" s="26">
        <f>-C38</f>
        <v>-9066.8992872728668</v>
      </c>
      <c r="G9" s="26">
        <f>-C39</f>
        <v>-4866.6363710985552</v>
      </c>
      <c r="H9" s="26">
        <f>-C40</f>
        <v>0</v>
      </c>
      <c r="I9" s="59">
        <f>-C41</f>
        <v>0</v>
      </c>
    </row>
    <row r="10" spans="3:14" ht="12.75">
      <c r="C10" s="47" t="s">
        <v>123</v>
      </c>
      <c r="D10" s="26"/>
      <c r="E10" s="26">
        <f>-E2*$H39</f>
        <v>-136000</v>
      </c>
      <c r="F10" s="26">
        <f>-F2*$H39</f>
        <v>-136000</v>
      </c>
      <c r="G10" s="26">
        <f>-G2*$H39</f>
        <v>-136000</v>
      </c>
      <c r="H10" s="26">
        <f>-H2*$H39</f>
        <v>-136000</v>
      </c>
      <c r="I10" s="59">
        <f>-(I2*$H39)</f>
        <v>-136000</v>
      </c>
    </row>
    <row r="11" spans="3:14" ht="12.75">
      <c r="C11" s="47" t="s">
        <v>185</v>
      </c>
      <c r="D11" s="26"/>
      <c r="E11" s="26">
        <v>-22000</v>
      </c>
      <c r="F11" s="26">
        <v>-22000</v>
      </c>
      <c r="G11" s="26">
        <v>-22000</v>
      </c>
      <c r="H11" s="26">
        <v>-22000</v>
      </c>
      <c r="I11" s="59">
        <v>-22000</v>
      </c>
    </row>
    <row r="12" spans="3:14" ht="12.75">
      <c r="C12" s="47" t="s">
        <v>186</v>
      </c>
      <c r="D12" s="26"/>
      <c r="E12" s="26">
        <f>E4*-0.03</f>
        <v>-6120</v>
      </c>
      <c r="F12" s="26">
        <f>F4*-0.03</f>
        <v>-6120</v>
      </c>
      <c r="G12" s="26">
        <f>G4*-0.03</f>
        <v>-6120</v>
      </c>
      <c r="H12" s="26">
        <f>H4*-0.03</f>
        <v>-6120</v>
      </c>
      <c r="I12" s="26">
        <f>I4*-0.03</f>
        <v>-6120</v>
      </c>
    </row>
    <row r="13" spans="3:14" ht="12.75">
      <c r="C13" s="57" t="s">
        <v>125</v>
      </c>
      <c r="D13" s="29"/>
      <c r="E13" s="29"/>
      <c r="F13" s="29"/>
      <c r="G13" s="29"/>
      <c r="H13" s="29"/>
      <c r="I13" s="58"/>
    </row>
    <row r="14" spans="3:14" ht="12.75">
      <c r="C14" s="47" t="s">
        <v>156</v>
      </c>
      <c r="D14" s="26"/>
      <c r="E14" s="26">
        <f>$D$23/$E$26</f>
        <v>-8000</v>
      </c>
      <c r="F14" s="26">
        <f>$D$23/$E$26</f>
        <v>-8000</v>
      </c>
      <c r="G14" s="26">
        <f>$D$23/$E$26</f>
        <v>-8000</v>
      </c>
      <c r="H14" s="26">
        <f>$D$23/$E$26</f>
        <v>-8000</v>
      </c>
      <c r="I14" s="59">
        <f>$D$23/$E$26</f>
        <v>-8000</v>
      </c>
    </row>
    <row r="15" spans="3:14" ht="12.75">
      <c r="C15" s="47" t="s">
        <v>129</v>
      </c>
      <c r="D15" s="26"/>
      <c r="E15" s="26">
        <v>0</v>
      </c>
      <c r="F15" s="26">
        <v>0</v>
      </c>
      <c r="G15" s="26">
        <f>$G$23/5</f>
        <v>0</v>
      </c>
      <c r="H15" s="26">
        <v>0</v>
      </c>
      <c r="I15" s="59">
        <v>0</v>
      </c>
    </row>
    <row r="16" spans="3:14" ht="12.75">
      <c r="C16" s="47" t="s">
        <v>70</v>
      </c>
      <c r="D16" s="26"/>
      <c r="E16" s="26">
        <v>0</v>
      </c>
      <c r="F16" s="26">
        <v>0</v>
      </c>
      <c r="G16" s="26">
        <v>0</v>
      </c>
      <c r="H16" s="26">
        <v>0</v>
      </c>
      <c r="I16" s="59">
        <f>I14*5</f>
        <v>-40000</v>
      </c>
    </row>
    <row r="17" spans="1:11" ht="14.25">
      <c r="C17" s="60" t="s">
        <v>130</v>
      </c>
      <c r="D17" s="32"/>
      <c r="E17" s="32">
        <f>SUM(E3:E16)</f>
        <v>19187.966796874942</v>
      </c>
      <c r="F17" s="32">
        <f>SUM(F3:F16)</f>
        <v>22813.100712727144</v>
      </c>
      <c r="G17" s="32">
        <f>SUM(G3:G16)</f>
        <v>27013.363628901454</v>
      </c>
      <c r="H17" s="32">
        <f>SUM(H3:H16)</f>
        <v>31880</v>
      </c>
      <c r="I17" s="61">
        <f>SUM(I3:I16)</f>
        <v>39380</v>
      </c>
    </row>
    <row r="18" spans="1:11" ht="12.75">
      <c r="B18" s="3"/>
      <c r="C18" s="62" t="s">
        <v>159</v>
      </c>
      <c r="D18" s="26"/>
      <c r="E18" s="26">
        <f>E17*$B$26</f>
        <v>6715.7883789062289</v>
      </c>
      <c r="F18" s="26">
        <f>F17*$B$26</f>
        <v>7984.5852494544997</v>
      </c>
      <c r="G18" s="26">
        <f>G17*$B$26</f>
        <v>9454.6772701155078</v>
      </c>
      <c r="H18" s="26">
        <f>H17*$B$26</f>
        <v>11158</v>
      </c>
      <c r="I18" s="59">
        <f>I17*$B$26</f>
        <v>13783</v>
      </c>
    </row>
    <row r="19" spans="1:11" ht="28.5">
      <c r="C19" s="63" t="s">
        <v>132</v>
      </c>
      <c r="D19" s="35"/>
      <c r="E19" s="35">
        <f>E17-E18</f>
        <v>12472.178417968713</v>
      </c>
      <c r="F19" s="35">
        <f>F17-F18</f>
        <v>14828.515463272644</v>
      </c>
      <c r="G19" s="35">
        <f>G17-G18</f>
        <v>17558.686358785948</v>
      </c>
      <c r="H19" s="35">
        <f>H17-H18</f>
        <v>20722</v>
      </c>
      <c r="I19" s="64">
        <f>I17-I18</f>
        <v>25597</v>
      </c>
    </row>
    <row r="20" spans="1:11" ht="12.75">
      <c r="C20" s="62" t="s">
        <v>133</v>
      </c>
      <c r="D20" s="26"/>
      <c r="E20" s="26">
        <f>-SUM(E14:E16)</f>
        <v>8000</v>
      </c>
      <c r="F20" s="26">
        <f>-SUM(F14:F16)</f>
        <v>8000</v>
      </c>
      <c r="G20" s="26">
        <f>-SUM(G14:G16)</f>
        <v>8000</v>
      </c>
      <c r="H20" s="26">
        <f>-SUM(H14:H16)</f>
        <v>8000</v>
      </c>
      <c r="I20" s="59">
        <f>-SUM(I14:I16)</f>
        <v>48000</v>
      </c>
    </row>
    <row r="21" spans="1:11" ht="12.75">
      <c r="C21" s="47" t="s">
        <v>187</v>
      </c>
      <c r="D21" s="26"/>
      <c r="E21" s="26">
        <f>-D37</f>
        <v>-22849.823084040436</v>
      </c>
      <c r="F21" s="26">
        <f>-D38</f>
        <v>-26474.956999892613</v>
      </c>
      <c r="G21" s="26">
        <f>-D39</f>
        <v>-30675.219916066926</v>
      </c>
      <c r="H21" s="26">
        <f>-D40</f>
        <v>0</v>
      </c>
      <c r="I21" s="59">
        <f>-D41</f>
        <v>0</v>
      </c>
    </row>
    <row r="22" spans="1:11" ht="12.75">
      <c r="C22" s="47" t="s">
        <v>135</v>
      </c>
      <c r="D22" s="26">
        <f>D23*-1</f>
        <v>80000</v>
      </c>
      <c r="E22" s="26"/>
      <c r="F22" s="26"/>
      <c r="G22" s="26"/>
      <c r="H22" s="26"/>
      <c r="I22" s="59"/>
    </row>
    <row r="23" spans="1:11" ht="12.75">
      <c r="C23" s="47" t="s">
        <v>158</v>
      </c>
      <c r="D23" s="26">
        <v>-80000</v>
      </c>
      <c r="E23" s="26"/>
      <c r="F23" s="26"/>
      <c r="G23" s="26"/>
      <c r="H23" s="26"/>
      <c r="I23" s="59"/>
      <c r="J23" s="112" t="s">
        <v>29</v>
      </c>
      <c r="K23" s="96">
        <f>B44</f>
        <v>0.2271</v>
      </c>
    </row>
    <row r="24" spans="1:11" ht="14.25">
      <c r="C24" s="66" t="s">
        <v>139</v>
      </c>
      <c r="D24" s="67">
        <f t="shared" ref="D24:I24" si="0">SUM(D19:D23)</f>
        <v>0</v>
      </c>
      <c r="E24" s="67">
        <f t="shared" si="0"/>
        <v>-2377.6446660717229</v>
      </c>
      <c r="F24" s="67">
        <f t="shared" si="0"/>
        <v>-3646.4415366199682</v>
      </c>
      <c r="G24" s="67">
        <f t="shared" si="0"/>
        <v>-5116.5335572809781</v>
      </c>
      <c r="H24" s="67">
        <f t="shared" si="0"/>
        <v>28722</v>
      </c>
      <c r="I24" s="68">
        <f t="shared" si="0"/>
        <v>73597</v>
      </c>
      <c r="J24" s="113">
        <f t="array" ref="J24">D24+NPV(K23,E24:I24)</f>
        <v>31991.391244962782</v>
      </c>
    </row>
    <row r="25" spans="1:11" ht="14.25">
      <c r="D25" s="69"/>
      <c r="E25" s="69"/>
      <c r="F25" s="69"/>
      <c r="G25" s="69"/>
      <c r="H25" s="69"/>
      <c r="I25" s="69"/>
      <c r="J25" s="2"/>
      <c r="K25" s="2"/>
    </row>
    <row r="26" spans="1:11" ht="12.75">
      <c r="A26" s="71" t="s">
        <v>160</v>
      </c>
      <c r="B26" s="98">
        <v>0.35</v>
      </c>
      <c r="D26" s="71" t="s">
        <v>53</v>
      </c>
      <c r="E26" s="114">
        <v>10</v>
      </c>
    </row>
    <row r="28" spans="1:11" ht="12.75">
      <c r="A28" s="73" t="s">
        <v>0</v>
      </c>
      <c r="B28" s="74">
        <v>0.15</v>
      </c>
    </row>
    <row r="29" spans="1:11" ht="12.75">
      <c r="A29" s="75" t="s">
        <v>104</v>
      </c>
      <c r="B29" s="76">
        <v>4</v>
      </c>
    </row>
    <row r="30" spans="1:11" ht="12.75">
      <c r="A30" s="75"/>
      <c r="B30" s="76">
        <v>4</v>
      </c>
    </row>
    <row r="31" spans="1:11" ht="12.75">
      <c r="A31" s="75" t="s">
        <v>3</v>
      </c>
      <c r="B31" s="77">
        <f>((1+B28/B29)^B30)-1</f>
        <v>0.15865041503906308</v>
      </c>
    </row>
    <row r="32" spans="1:11" ht="12.75">
      <c r="A32" s="78" t="s">
        <v>104</v>
      </c>
      <c r="B32" s="79">
        <v>3</v>
      </c>
    </row>
    <row r="34" spans="1:8" ht="12.75">
      <c r="A34" s="1620" t="s">
        <v>103</v>
      </c>
      <c r="B34" s="1621"/>
      <c r="C34" s="1621"/>
      <c r="D34" s="1621"/>
      <c r="E34" s="1622"/>
      <c r="G34" s="1623" t="s">
        <v>179</v>
      </c>
      <c r="H34" s="1614"/>
    </row>
    <row r="35" spans="1:8" ht="12.75">
      <c r="A35" s="99" t="s">
        <v>105</v>
      </c>
      <c r="B35" s="100" t="s">
        <v>106</v>
      </c>
      <c r="C35" s="100" t="s">
        <v>102</v>
      </c>
      <c r="D35" s="100" t="s">
        <v>53</v>
      </c>
      <c r="E35" s="101" t="s">
        <v>107</v>
      </c>
      <c r="G35" s="21" t="s">
        <v>188</v>
      </c>
      <c r="H35" s="26">
        <v>50</v>
      </c>
    </row>
    <row r="36" spans="1:8" ht="12.75">
      <c r="A36" s="102">
        <v>0</v>
      </c>
      <c r="B36" s="103"/>
      <c r="C36" s="103"/>
      <c r="D36" s="103"/>
      <c r="E36" s="104">
        <f>D22</f>
        <v>80000</v>
      </c>
      <c r="G36" s="21" t="s">
        <v>181</v>
      </c>
      <c r="H36" s="26">
        <v>90</v>
      </c>
    </row>
    <row r="37" spans="1:8" ht="12.75">
      <c r="A37" s="47">
        <v>1</v>
      </c>
      <c r="B37" s="26">
        <f>$E$36*($B$31/((1-(1+$B$31)^-$B$32)))</f>
        <v>35541.856287165479</v>
      </c>
      <c r="C37" s="26">
        <f>E36*$B$31</f>
        <v>12692.033203125045</v>
      </c>
      <c r="D37" s="26">
        <f>B37-C37</f>
        <v>22849.823084040436</v>
      </c>
      <c r="E37" s="59">
        <f>E36-D37</f>
        <v>57150.176915959564</v>
      </c>
      <c r="G37" s="21" t="s">
        <v>189</v>
      </c>
      <c r="H37" s="26">
        <v>30</v>
      </c>
    </row>
    <row r="38" spans="1:8" ht="12.75">
      <c r="A38" s="47">
        <v>2</v>
      </c>
      <c r="B38" s="26">
        <f>$E$36*($B$31/((1-(1+$B$31)^-$B$32)))</f>
        <v>35541.856287165479</v>
      </c>
      <c r="C38" s="26">
        <f>E37*$B$31</f>
        <v>9066.8992872728668</v>
      </c>
      <c r="D38" s="26">
        <f>B38-C38</f>
        <v>26474.956999892613</v>
      </c>
      <c r="E38" s="59">
        <f>E37-D38</f>
        <v>30675.219916066952</v>
      </c>
      <c r="G38" s="21"/>
      <c r="H38" s="26"/>
    </row>
    <row r="39" spans="1:8" ht="12.75">
      <c r="A39" s="47">
        <v>3</v>
      </c>
      <c r="B39" s="26">
        <f>$E$36*($B$31/((1-(1+$B$31)^-$B$32)))</f>
        <v>35541.856287165479</v>
      </c>
      <c r="C39" s="26">
        <f>E38*$B$31</f>
        <v>4866.6363710985552</v>
      </c>
      <c r="D39" s="26">
        <f>B39-C39</f>
        <v>30675.219916066926</v>
      </c>
      <c r="E39" s="59">
        <f>E38-D39</f>
        <v>0</v>
      </c>
      <c r="G39" s="21" t="s">
        <v>176</v>
      </c>
      <c r="H39" s="105">
        <f>SUM(H35:H38)</f>
        <v>170</v>
      </c>
    </row>
    <row r="40" spans="1:8" ht="12.75">
      <c r="A40" s="47"/>
      <c r="B40" s="26"/>
      <c r="C40" s="26"/>
      <c r="D40" s="26"/>
      <c r="E40" s="59"/>
    </row>
    <row r="41" spans="1:8" ht="12.75">
      <c r="A41" s="50"/>
      <c r="B41" s="82"/>
      <c r="C41" s="82"/>
      <c r="D41" s="82"/>
      <c r="E41" s="83"/>
    </row>
    <row r="44" spans="1:8" ht="14.25">
      <c r="A44" s="40" t="s">
        <v>140</v>
      </c>
      <c r="B44" s="41">
        <f>(B46*B52)+ (B51*B53*(1-B50))</f>
        <v>0.2271</v>
      </c>
      <c r="E44" s="1619" t="s">
        <v>150</v>
      </c>
      <c r="F44" s="1618"/>
    </row>
    <row r="45" spans="1:8" ht="15.75" customHeight="1">
      <c r="A45" s="42" t="s">
        <v>141</v>
      </c>
      <c r="B45" s="43" t="s">
        <v>142</v>
      </c>
      <c r="E45" s="47" t="s">
        <v>161</v>
      </c>
      <c r="F45" s="48">
        <v>0</v>
      </c>
    </row>
    <row r="46" spans="1:8" ht="15.75" customHeight="1">
      <c r="A46" s="44" t="s">
        <v>143</v>
      </c>
      <c r="B46" s="45">
        <f>B47+B48*(B49-B47)</f>
        <v>0.2271</v>
      </c>
      <c r="E46" s="47" t="s">
        <v>162</v>
      </c>
      <c r="F46" s="48">
        <v>0</v>
      </c>
    </row>
    <row r="47" spans="1:8" ht="15.75" customHeight="1">
      <c r="A47" s="44" t="s">
        <v>144</v>
      </c>
      <c r="B47" s="46">
        <f>7%+12%+3.71%</f>
        <v>0.2271</v>
      </c>
      <c r="C47" s="4" t="s">
        <v>145</v>
      </c>
      <c r="E47" s="47" t="s">
        <v>163</v>
      </c>
      <c r="F47" s="49">
        <v>0</v>
      </c>
    </row>
    <row r="48" spans="1:8" ht="12.75">
      <c r="A48" s="47" t="s">
        <v>7</v>
      </c>
      <c r="B48" s="48">
        <v>0</v>
      </c>
      <c r="E48" s="47" t="s">
        <v>164</v>
      </c>
      <c r="F48" s="49">
        <v>0</v>
      </c>
    </row>
    <row r="49" spans="1:6" ht="12.75">
      <c r="A49" s="47" t="s">
        <v>146</v>
      </c>
      <c r="B49" s="49">
        <v>0</v>
      </c>
      <c r="C49" s="4" t="s">
        <v>147</v>
      </c>
      <c r="E49" s="85" t="s">
        <v>165</v>
      </c>
      <c r="F49" s="86" t="e">
        <f>F48*(F45/F63)+F47*(F46/F63)</f>
        <v>#DIV/0!</v>
      </c>
    </row>
    <row r="50" spans="1:6" ht="12.75">
      <c r="A50" s="47" t="s">
        <v>148</v>
      </c>
      <c r="B50" s="87">
        <f>B26</f>
        <v>0.35</v>
      </c>
      <c r="C50" s="4" t="s">
        <v>149</v>
      </c>
      <c r="D50" s="4"/>
      <c r="E50" s="4"/>
    </row>
    <row r="51" spans="1:6" ht="12.75">
      <c r="A51" s="47" t="s">
        <v>150</v>
      </c>
      <c r="B51" s="87">
        <v>0</v>
      </c>
      <c r="C51" s="4" t="s">
        <v>151</v>
      </c>
      <c r="D51" s="4"/>
      <c r="E51" s="4"/>
    </row>
    <row r="52" spans="1:6" ht="14.25">
      <c r="A52" s="47" t="s">
        <v>152</v>
      </c>
      <c r="B52" s="87">
        <v>1</v>
      </c>
      <c r="C52" s="4" t="s">
        <v>153</v>
      </c>
      <c r="E52" s="1619" t="s">
        <v>166</v>
      </c>
      <c r="F52" s="1618"/>
    </row>
    <row r="53" spans="1:6" ht="12.75">
      <c r="A53" s="50" t="s">
        <v>154</v>
      </c>
      <c r="B53" s="88">
        <v>0</v>
      </c>
      <c r="C53" s="4" t="s">
        <v>155</v>
      </c>
      <c r="E53" s="47" t="s">
        <v>107</v>
      </c>
      <c r="F53" s="48">
        <v>0</v>
      </c>
    </row>
    <row r="54" spans="1:6" ht="12.75">
      <c r="E54" s="47" t="s">
        <v>167</v>
      </c>
      <c r="F54" s="48">
        <v>0</v>
      </c>
    </row>
    <row r="55" spans="1:6" ht="12.75">
      <c r="E55" s="47" t="s">
        <v>168</v>
      </c>
      <c r="F55" s="48">
        <v>0</v>
      </c>
    </row>
    <row r="56" spans="1:6" ht="12.75">
      <c r="E56" s="47" t="s">
        <v>170</v>
      </c>
      <c r="F56" s="87" t="e">
        <f>SUM(F53:F54)/F55</f>
        <v>#DIV/0!</v>
      </c>
    </row>
    <row r="57" spans="1:6" ht="12.75">
      <c r="E57" s="50" t="s">
        <v>171</v>
      </c>
      <c r="F57" s="88" t="e">
        <f>1-F56</f>
        <v>#DIV/0!</v>
      </c>
    </row>
    <row r="59" spans="1:6" ht="12.75">
      <c r="E59" s="91" t="s">
        <v>172</v>
      </c>
      <c r="F59" s="92"/>
    </row>
    <row r="60" spans="1:6" ht="12.75">
      <c r="E60" s="47" t="s">
        <v>173</v>
      </c>
      <c r="F60" s="48">
        <v>0</v>
      </c>
    </row>
    <row r="61" spans="1:6" ht="12.75">
      <c r="E61" s="47" t="s">
        <v>174</v>
      </c>
      <c r="F61" s="48">
        <v>0</v>
      </c>
    </row>
    <row r="62" spans="1:6" ht="12.75">
      <c r="E62" s="47" t="s">
        <v>175</v>
      </c>
      <c r="F62" s="48">
        <v>0</v>
      </c>
    </row>
    <row r="63" spans="1:6" ht="12.75">
      <c r="E63" s="85" t="s">
        <v>176</v>
      </c>
      <c r="F63" s="93">
        <f>SUM(F60:F62)</f>
        <v>0</v>
      </c>
    </row>
  </sheetData>
  <mergeCells count="4">
    <mergeCell ref="A34:E34"/>
    <mergeCell ref="G34:H34"/>
    <mergeCell ref="E44:F44"/>
    <mergeCell ref="E52:F52"/>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K63"/>
  <sheetViews>
    <sheetView workbookViewId="0">
      <selection activeCell="I5" sqref="I5"/>
    </sheetView>
  </sheetViews>
  <sheetFormatPr defaultColWidth="14.42578125" defaultRowHeight="15.75" customHeight="1"/>
  <cols>
    <col min="1" max="1" width="23.5703125" customWidth="1"/>
    <col min="2" max="2" width="10.85546875" customWidth="1"/>
    <col min="3" max="3" width="37.28515625" customWidth="1"/>
    <col min="4" max="4" width="12.85546875" customWidth="1"/>
    <col min="5" max="5" width="29.85546875" customWidth="1"/>
    <col min="6" max="6" width="12.5703125" customWidth="1"/>
    <col min="7" max="7" width="20" customWidth="1"/>
    <col min="8" max="9" width="12.5703125" customWidth="1"/>
    <col min="10" max="10" width="11.140625" customWidth="1"/>
    <col min="11" max="11" width="7.5703125" customWidth="1"/>
  </cols>
  <sheetData>
    <row r="1" spans="3:9" ht="12.75">
      <c r="C1" s="106" t="s">
        <v>27</v>
      </c>
      <c r="D1" s="107" t="s">
        <v>112</v>
      </c>
      <c r="E1" s="107" t="s">
        <v>113</v>
      </c>
      <c r="F1" s="107" t="s">
        <v>114</v>
      </c>
      <c r="G1" s="107" t="s">
        <v>115</v>
      </c>
      <c r="H1" s="107" t="s">
        <v>116</v>
      </c>
      <c r="I1" s="108" t="s">
        <v>117</v>
      </c>
    </row>
    <row r="2" spans="3:9" ht="12.75">
      <c r="C2" s="109" t="s">
        <v>177</v>
      </c>
      <c r="D2" s="110"/>
      <c r="E2" s="110">
        <v>1500</v>
      </c>
      <c r="F2" s="110">
        <f>E2</f>
        <v>1500</v>
      </c>
      <c r="G2" s="110">
        <f>F2</f>
        <v>1500</v>
      </c>
      <c r="H2" s="110">
        <f>G2</f>
        <v>1500</v>
      </c>
      <c r="I2" s="110">
        <f>H2</f>
        <v>1500</v>
      </c>
    </row>
    <row r="3" spans="3:9" ht="12.75">
      <c r="C3" s="57" t="s">
        <v>118</v>
      </c>
      <c r="D3" s="29"/>
      <c r="E3" s="29"/>
      <c r="F3" s="29"/>
      <c r="G3" s="29"/>
      <c r="H3" s="29"/>
      <c r="I3" s="58"/>
    </row>
    <row r="4" spans="3:9" ht="12.75">
      <c r="C4" s="47" t="s">
        <v>184</v>
      </c>
      <c r="D4" s="26"/>
      <c r="E4" s="26">
        <f>E2*180</f>
        <v>270000</v>
      </c>
      <c r="F4" s="26">
        <f>F2*180</f>
        <v>270000</v>
      </c>
      <c r="G4" s="26">
        <f>G2*180</f>
        <v>270000</v>
      </c>
      <c r="H4" s="26">
        <f>H2*180</f>
        <v>270000</v>
      </c>
      <c r="I4" s="26">
        <f>I2*180</f>
        <v>270000</v>
      </c>
    </row>
    <row r="5" spans="3:9" ht="12.75">
      <c r="C5" s="47" t="s">
        <v>178</v>
      </c>
      <c r="D5" s="26"/>
      <c r="E5" s="26"/>
      <c r="F5" s="26"/>
      <c r="G5" s="26"/>
      <c r="H5" s="26"/>
      <c r="I5" s="59">
        <f>((-D23+5000)/10)*(10-5)</f>
        <v>47500</v>
      </c>
    </row>
    <row r="6" spans="3:9" ht="12.75">
      <c r="C6" s="47" t="s">
        <v>119</v>
      </c>
      <c r="D6" s="26"/>
      <c r="E6" s="26">
        <v>0</v>
      </c>
      <c r="F6" s="26">
        <v>0</v>
      </c>
      <c r="G6" s="26">
        <v>0</v>
      </c>
      <c r="H6" s="26">
        <v>0</v>
      </c>
      <c r="I6" s="59">
        <v>0</v>
      </c>
    </row>
    <row r="7" spans="3:9" ht="12.75">
      <c r="C7" s="47" t="s">
        <v>120</v>
      </c>
      <c r="D7" s="26"/>
      <c r="E7" s="26">
        <v>0</v>
      </c>
      <c r="F7" s="26">
        <v>0</v>
      </c>
      <c r="G7" s="26">
        <v>0</v>
      </c>
      <c r="H7" s="26">
        <v>0</v>
      </c>
      <c r="I7" s="59">
        <v>0</v>
      </c>
    </row>
    <row r="8" spans="3:9" ht="12.75">
      <c r="C8" s="57" t="s">
        <v>121</v>
      </c>
      <c r="D8" s="29"/>
      <c r="E8" s="29"/>
      <c r="F8" s="29"/>
      <c r="G8" s="29"/>
      <c r="H8" s="29"/>
      <c r="I8" s="58"/>
    </row>
    <row r="9" spans="3:9" ht="12.75">
      <c r="C9" s="47" t="s">
        <v>122</v>
      </c>
      <c r="D9" s="26"/>
      <c r="E9" s="26">
        <f>-C37</f>
        <v>-16550.255541607603</v>
      </c>
      <c r="F9" s="26">
        <f>-C38</f>
        <v>-11033.50369440507</v>
      </c>
      <c r="G9" s="26">
        <f>-C39</f>
        <v>-5516.7518472025349</v>
      </c>
      <c r="H9" s="26">
        <f>-C40</f>
        <v>0</v>
      </c>
      <c r="I9" s="59">
        <f>-C41</f>
        <v>0</v>
      </c>
    </row>
    <row r="10" spans="3:9" ht="12.75">
      <c r="C10" s="47" t="s">
        <v>123</v>
      </c>
      <c r="D10" s="26"/>
      <c r="E10" s="26">
        <f>-E2*$H39</f>
        <v>-172500</v>
      </c>
      <c r="F10" s="26">
        <f>-F2*$H39</f>
        <v>-172500</v>
      </c>
      <c r="G10" s="26">
        <f>-G2*$H39</f>
        <v>-172500</v>
      </c>
      <c r="H10" s="26">
        <f>-H2*$H39</f>
        <v>-172500</v>
      </c>
      <c r="I10" s="59">
        <f>-(I2*$H39)</f>
        <v>-172500</v>
      </c>
    </row>
    <row r="11" spans="3:9" ht="12.75">
      <c r="C11" s="47" t="s">
        <v>185</v>
      </c>
      <c r="D11" s="26"/>
      <c r="E11" s="26">
        <v>-29000</v>
      </c>
      <c r="F11" s="26">
        <v>-29000</v>
      </c>
      <c r="G11" s="26">
        <v>-29000</v>
      </c>
      <c r="H11" s="26">
        <v>-29000</v>
      </c>
      <c r="I11" s="26">
        <v>-29000</v>
      </c>
    </row>
    <row r="12" spans="3:9" ht="12.75">
      <c r="C12" s="47" t="s">
        <v>186</v>
      </c>
      <c r="D12" s="26"/>
      <c r="E12" s="26">
        <f>-E4*0.03</f>
        <v>-8100</v>
      </c>
      <c r="F12" s="26">
        <f>-F4*0.03</f>
        <v>-8100</v>
      </c>
      <c r="G12" s="26">
        <f>-G4*0.03</f>
        <v>-8100</v>
      </c>
      <c r="H12" s="26">
        <f>-H4*0.03</f>
        <v>-8100</v>
      </c>
      <c r="I12" s="26">
        <f>-I4*0.03</f>
        <v>-8100</v>
      </c>
    </row>
    <row r="13" spans="3:9" ht="12.75">
      <c r="C13" s="57" t="s">
        <v>125</v>
      </c>
      <c r="D13" s="29"/>
      <c r="E13" s="29"/>
      <c r="F13" s="29"/>
      <c r="G13" s="29"/>
      <c r="H13" s="29"/>
      <c r="I13" s="58"/>
    </row>
    <row r="14" spans="3:9" ht="12.75">
      <c r="C14" s="47" t="s">
        <v>156</v>
      </c>
      <c r="D14" s="26"/>
      <c r="E14" s="26">
        <f>$D$23/$E$26</f>
        <v>-9000</v>
      </c>
      <c r="F14" s="26">
        <f>$D$23/$E$26</f>
        <v>-9000</v>
      </c>
      <c r="G14" s="26">
        <f>$D$23/$E$26</f>
        <v>-9000</v>
      </c>
      <c r="H14" s="26">
        <f>$D$23/$E$26</f>
        <v>-9000</v>
      </c>
      <c r="I14" s="59">
        <f>$D$23/$E$26</f>
        <v>-9000</v>
      </c>
    </row>
    <row r="15" spans="3:9" ht="12.75">
      <c r="C15" s="47" t="s">
        <v>129</v>
      </c>
      <c r="D15" s="26"/>
      <c r="E15" s="26">
        <v>0</v>
      </c>
      <c r="F15" s="26">
        <v>0</v>
      </c>
      <c r="G15" s="26">
        <f>$G$23/5</f>
        <v>0</v>
      </c>
      <c r="H15" s="26">
        <v>0</v>
      </c>
      <c r="I15" s="59">
        <v>0</v>
      </c>
    </row>
    <row r="16" spans="3:9" ht="12.75">
      <c r="C16" s="47" t="s">
        <v>70</v>
      </c>
      <c r="D16" s="26"/>
      <c r="E16" s="26">
        <v>0</v>
      </c>
      <c r="F16" s="26">
        <v>0</v>
      </c>
      <c r="G16" s="26">
        <v>0</v>
      </c>
      <c r="H16" s="26">
        <v>0</v>
      </c>
      <c r="I16" s="59">
        <f>D23-SUM(E14:I14)</f>
        <v>-45000</v>
      </c>
    </row>
    <row r="17" spans="1:11" ht="14.25">
      <c r="C17" s="60" t="s">
        <v>130</v>
      </c>
      <c r="D17" s="32"/>
      <c r="E17" s="32">
        <f>SUM(E3:E16)</f>
        <v>34849.744458392408</v>
      </c>
      <c r="F17" s="32">
        <f>SUM(F3:F16)</f>
        <v>40366.496305594919</v>
      </c>
      <c r="G17" s="32">
        <f>SUM(G3:G16)</f>
        <v>45883.24815279746</v>
      </c>
      <c r="H17" s="32">
        <f>SUM(H3:H16)</f>
        <v>51400</v>
      </c>
      <c r="I17" s="61">
        <f>SUM(I3:I16)</f>
        <v>53900</v>
      </c>
    </row>
    <row r="18" spans="1:11" ht="12.75">
      <c r="B18" s="3"/>
      <c r="C18" s="62" t="s">
        <v>159</v>
      </c>
      <c r="D18" s="26"/>
      <c r="E18" s="26">
        <f>E17*$B$26</f>
        <v>12197.410560437342</v>
      </c>
      <c r="F18" s="26">
        <f>F17*$B$26</f>
        <v>14128.273706958222</v>
      </c>
      <c r="G18" s="26">
        <f>G17*$B$26</f>
        <v>16059.136853479109</v>
      </c>
      <c r="H18" s="26">
        <f>H17*$B$26</f>
        <v>17990</v>
      </c>
      <c r="I18" s="59">
        <f>I17*$B$26</f>
        <v>18865</v>
      </c>
    </row>
    <row r="19" spans="1:11" ht="28.5">
      <c r="C19" s="63" t="s">
        <v>132</v>
      </c>
      <c r="D19" s="35"/>
      <c r="E19" s="35">
        <f>E17-E18</f>
        <v>22652.333897955068</v>
      </c>
      <c r="F19" s="35">
        <f>F17-F18</f>
        <v>26238.222598636698</v>
      </c>
      <c r="G19" s="35">
        <f>G17-G18</f>
        <v>29824.111299318349</v>
      </c>
      <c r="H19" s="35">
        <f>H17-H18</f>
        <v>33410</v>
      </c>
      <c r="I19" s="64">
        <f>I17-I18</f>
        <v>35035</v>
      </c>
    </row>
    <row r="20" spans="1:11" ht="12.75">
      <c r="C20" s="62" t="s">
        <v>133</v>
      </c>
      <c r="D20" s="26"/>
      <c r="E20" s="26">
        <f>-SUM(E14:E16)</f>
        <v>9000</v>
      </c>
      <c r="F20" s="26">
        <f>-SUM(F14:F16)</f>
        <v>9000</v>
      </c>
      <c r="G20" s="26">
        <f>-SUM(G14:G16)</f>
        <v>9000</v>
      </c>
      <c r="H20" s="26">
        <f>-SUM(H14:H16)</f>
        <v>9000</v>
      </c>
      <c r="I20" s="59">
        <f>-SUM(I14:I16)</f>
        <v>54000</v>
      </c>
    </row>
    <row r="21" spans="1:11" ht="12.75">
      <c r="C21" s="47" t="s">
        <v>187</v>
      </c>
      <c r="D21" s="26"/>
      <c r="E21" s="26">
        <f>-D37</f>
        <v>-30000</v>
      </c>
      <c r="F21" s="26">
        <f>-D38</f>
        <v>-30000</v>
      </c>
      <c r="G21" s="26">
        <f>-D39</f>
        <v>-30000</v>
      </c>
      <c r="H21" s="26">
        <f>-D40</f>
        <v>0</v>
      </c>
      <c r="I21" s="59">
        <f>-D41</f>
        <v>0</v>
      </c>
    </row>
    <row r="22" spans="1:11" ht="12.75">
      <c r="C22" s="47" t="s">
        <v>135</v>
      </c>
      <c r="D22" s="26">
        <f>-D23</f>
        <v>90000</v>
      </c>
      <c r="E22" s="26"/>
      <c r="F22" s="26"/>
      <c r="G22" s="26"/>
      <c r="H22" s="26"/>
      <c r="I22" s="59"/>
    </row>
    <row r="23" spans="1:11" ht="12.75">
      <c r="C23" s="47" t="s">
        <v>158</v>
      </c>
      <c r="D23" s="26">
        <v>-90000</v>
      </c>
      <c r="E23" s="26"/>
      <c r="F23" s="26"/>
      <c r="G23" s="26"/>
      <c r="H23" s="26"/>
      <c r="I23" s="59"/>
      <c r="J23" s="112" t="s">
        <v>29</v>
      </c>
      <c r="K23" s="96">
        <f>B44</f>
        <v>0.2271</v>
      </c>
    </row>
    <row r="24" spans="1:11" ht="14.25">
      <c r="C24" s="66" t="s">
        <v>139</v>
      </c>
      <c r="D24" s="67">
        <f t="shared" ref="D24:I24" si="0">SUM(D19:D23)</f>
        <v>0</v>
      </c>
      <c r="E24" s="67">
        <f t="shared" si="0"/>
        <v>1652.3338979550681</v>
      </c>
      <c r="F24" s="67">
        <f t="shared" si="0"/>
        <v>5238.2225986366975</v>
      </c>
      <c r="G24" s="67">
        <f t="shared" si="0"/>
        <v>8824.1112993183488</v>
      </c>
      <c r="H24" s="67">
        <f t="shared" si="0"/>
        <v>42410</v>
      </c>
      <c r="I24" s="68">
        <f t="shared" si="0"/>
        <v>89035</v>
      </c>
      <c r="J24" s="113">
        <f t="array" ref="J24">D24+NPV(K23,E24:I24)</f>
        <v>60306.338825111729</v>
      </c>
    </row>
    <row r="25" spans="1:11" ht="14.25">
      <c r="D25" s="69"/>
      <c r="E25" s="70">
        <f>E24*((1+K23)^-1)</f>
        <v>1346.5356514995256</v>
      </c>
      <c r="F25" s="70">
        <f>F24*((1+K23)^-2)</f>
        <v>3478.7565546665769</v>
      </c>
      <c r="G25" s="70">
        <f>G24*((1+K23)^-3)</f>
        <v>4775.6348077154562</v>
      </c>
      <c r="H25" s="70">
        <f>H24*((1+K23)^-4)</f>
        <v>18704.600983302596</v>
      </c>
      <c r="I25" s="70">
        <f>I24*((1+K23)^-5)</f>
        <v>32000.810827927577</v>
      </c>
      <c r="J25" s="6">
        <f>SUM(E25:I25)+D24</f>
        <v>60306.338825111729</v>
      </c>
      <c r="K25" s="12" t="e">
        <f>IRR(D24:I24)</f>
        <v>#NUM!</v>
      </c>
    </row>
    <row r="26" spans="1:11" ht="12.75">
      <c r="A26" s="71" t="s">
        <v>160</v>
      </c>
      <c r="B26" s="98">
        <v>0.35</v>
      </c>
      <c r="D26" s="71" t="s">
        <v>53</v>
      </c>
      <c r="E26" s="114">
        <v>10</v>
      </c>
    </row>
    <row r="28" spans="1:11" ht="12.75">
      <c r="A28" s="73" t="s">
        <v>0</v>
      </c>
      <c r="B28" s="74">
        <v>0.17</v>
      </c>
    </row>
    <row r="29" spans="1:11" ht="12.75">
      <c r="A29" s="75" t="s">
        <v>104</v>
      </c>
      <c r="B29" s="76">
        <v>12</v>
      </c>
    </row>
    <row r="30" spans="1:11" ht="12.75">
      <c r="A30" s="75"/>
      <c r="B30" s="76">
        <v>12</v>
      </c>
    </row>
    <row r="31" spans="1:11" ht="12.75">
      <c r="A31" s="75" t="s">
        <v>3</v>
      </c>
      <c r="B31" s="77">
        <f>((1+B28/B29)^B30)-1</f>
        <v>0.18389172824008448</v>
      </c>
    </row>
    <row r="32" spans="1:11" ht="12.75">
      <c r="A32" s="78" t="s">
        <v>104</v>
      </c>
      <c r="B32" s="79">
        <v>3</v>
      </c>
    </row>
    <row r="34" spans="1:8" ht="12.75">
      <c r="A34" s="1620" t="s">
        <v>103</v>
      </c>
      <c r="B34" s="1621"/>
      <c r="C34" s="1621"/>
      <c r="D34" s="1621"/>
      <c r="E34" s="1622"/>
      <c r="G34" s="1623" t="s">
        <v>179</v>
      </c>
      <c r="H34" s="1614"/>
    </row>
    <row r="35" spans="1:8" ht="12.75">
      <c r="A35" s="99" t="s">
        <v>105</v>
      </c>
      <c r="B35" s="100" t="s">
        <v>106</v>
      </c>
      <c r="C35" s="100" t="s">
        <v>102</v>
      </c>
      <c r="D35" s="100" t="s">
        <v>53</v>
      </c>
      <c r="E35" s="101" t="s">
        <v>107</v>
      </c>
      <c r="G35" s="21" t="s">
        <v>188</v>
      </c>
      <c r="H35" s="26">
        <v>40</v>
      </c>
    </row>
    <row r="36" spans="1:8" ht="12.75">
      <c r="A36" s="25">
        <v>0</v>
      </c>
      <c r="B36" s="26"/>
      <c r="C36" s="26"/>
      <c r="D36" s="26"/>
      <c r="E36" s="26">
        <f>D22</f>
        <v>90000</v>
      </c>
      <c r="G36" s="21" t="s">
        <v>181</v>
      </c>
      <c r="H36" s="26">
        <v>60</v>
      </c>
    </row>
    <row r="37" spans="1:8" ht="12.75">
      <c r="A37" s="25">
        <v>1</v>
      </c>
      <c r="B37" s="26">
        <f>C37+D37</f>
        <v>46550.255541607607</v>
      </c>
      <c r="C37" s="26">
        <f>E36*$B$31</f>
        <v>16550.255541607603</v>
      </c>
      <c r="D37" s="26">
        <f>$E$36/$B$32</f>
        <v>30000</v>
      </c>
      <c r="E37" s="26">
        <f>E36-D37</f>
        <v>60000</v>
      </c>
      <c r="G37" s="21" t="s">
        <v>189</v>
      </c>
      <c r="H37" s="26">
        <v>15</v>
      </c>
    </row>
    <row r="38" spans="1:8" ht="12.75">
      <c r="A38" s="25">
        <v>2</v>
      </c>
      <c r="B38" s="26">
        <f>C38+D38</f>
        <v>41033.503694405066</v>
      </c>
      <c r="C38" s="26">
        <f>E37*$B$31</f>
        <v>11033.50369440507</v>
      </c>
      <c r="D38" s="26">
        <f>$E$36/$B$32</f>
        <v>30000</v>
      </c>
      <c r="E38" s="26">
        <f>E37-D38</f>
        <v>30000</v>
      </c>
      <c r="G38" s="21"/>
      <c r="H38" s="26"/>
    </row>
    <row r="39" spans="1:8" ht="12.75">
      <c r="A39" s="25">
        <v>3</v>
      </c>
      <c r="B39" s="26">
        <f>C39+D39</f>
        <v>35516.751847202533</v>
      </c>
      <c r="C39" s="26">
        <f>E38*$B$31</f>
        <v>5516.7518472025349</v>
      </c>
      <c r="D39" s="26">
        <f>$E$36/$B$32</f>
        <v>30000</v>
      </c>
      <c r="E39" s="26">
        <f>E38-D39</f>
        <v>0</v>
      </c>
      <c r="G39" s="21" t="s">
        <v>176</v>
      </c>
      <c r="H39" s="105">
        <f>SUM(H35:H38)</f>
        <v>115</v>
      </c>
    </row>
    <row r="40" spans="1:8" ht="12.75">
      <c r="A40" s="47"/>
      <c r="B40" s="26"/>
      <c r="C40" s="26"/>
      <c r="D40" s="26"/>
      <c r="E40" s="59"/>
    </row>
    <row r="41" spans="1:8" ht="12.75">
      <c r="A41" s="50"/>
      <c r="B41" s="82"/>
      <c r="C41" s="82"/>
      <c r="D41" s="82"/>
      <c r="E41" s="83"/>
    </row>
    <row r="44" spans="1:8" ht="14.25">
      <c r="A44" s="40" t="s">
        <v>140</v>
      </c>
      <c r="B44" s="41">
        <f>(B46*B52)+ (B51*B53*(1-B50))</f>
        <v>0.2271</v>
      </c>
      <c r="E44" s="1619" t="s">
        <v>150</v>
      </c>
      <c r="F44" s="1618"/>
    </row>
    <row r="45" spans="1:8" ht="15.75" customHeight="1">
      <c r="A45" s="42" t="s">
        <v>141</v>
      </c>
      <c r="B45" s="43" t="s">
        <v>142</v>
      </c>
      <c r="E45" s="47" t="s">
        <v>161</v>
      </c>
      <c r="F45" s="48">
        <v>0</v>
      </c>
    </row>
    <row r="46" spans="1:8" ht="15.75" customHeight="1">
      <c r="A46" s="44" t="s">
        <v>143</v>
      </c>
      <c r="B46" s="45">
        <f>B47+B48*(B49-B47)</f>
        <v>0.2271</v>
      </c>
      <c r="E46" s="47" t="s">
        <v>162</v>
      </c>
      <c r="F46" s="48">
        <v>0</v>
      </c>
    </row>
    <row r="47" spans="1:8" ht="15.75" customHeight="1">
      <c r="A47" s="44" t="s">
        <v>144</v>
      </c>
      <c r="B47" s="46">
        <f>7%+12%+3.71%</f>
        <v>0.2271</v>
      </c>
      <c r="C47" s="4" t="s">
        <v>145</v>
      </c>
      <c r="E47" s="47" t="s">
        <v>163</v>
      </c>
      <c r="F47" s="49">
        <v>0</v>
      </c>
    </row>
    <row r="48" spans="1:8" ht="12.75">
      <c r="A48" s="47" t="s">
        <v>7</v>
      </c>
      <c r="B48" s="48">
        <v>0</v>
      </c>
      <c r="E48" s="47" t="s">
        <v>164</v>
      </c>
      <c r="F48" s="49">
        <v>0</v>
      </c>
    </row>
    <row r="49" spans="1:6" ht="12.75">
      <c r="A49" s="47" t="s">
        <v>146</v>
      </c>
      <c r="B49" s="49">
        <v>0</v>
      </c>
      <c r="C49" s="4" t="s">
        <v>147</v>
      </c>
      <c r="E49" s="85" t="s">
        <v>165</v>
      </c>
      <c r="F49" s="86" t="e">
        <f>F48*(F45/F63)+F47*(F46/F63)</f>
        <v>#DIV/0!</v>
      </c>
    </row>
    <row r="50" spans="1:6" ht="12.75">
      <c r="A50" s="47" t="s">
        <v>148</v>
      </c>
      <c r="B50" s="87">
        <f>B26</f>
        <v>0.35</v>
      </c>
      <c r="C50" s="4" t="s">
        <v>149</v>
      </c>
      <c r="D50" s="4"/>
      <c r="E50" s="4"/>
    </row>
    <row r="51" spans="1:6" ht="12.75">
      <c r="A51" s="47" t="s">
        <v>150</v>
      </c>
      <c r="B51" s="87">
        <v>0</v>
      </c>
      <c r="C51" s="4" t="s">
        <v>151</v>
      </c>
      <c r="D51" s="4"/>
      <c r="E51" s="4"/>
    </row>
    <row r="52" spans="1:6" ht="14.25">
      <c r="A52" s="47" t="s">
        <v>152</v>
      </c>
      <c r="B52" s="87">
        <v>1</v>
      </c>
      <c r="C52" s="4" t="s">
        <v>153</v>
      </c>
      <c r="E52" s="1619" t="s">
        <v>166</v>
      </c>
      <c r="F52" s="1618"/>
    </row>
    <row r="53" spans="1:6" ht="12.75">
      <c r="A53" s="50" t="s">
        <v>154</v>
      </c>
      <c r="B53" s="88">
        <v>0</v>
      </c>
      <c r="C53" s="4" t="s">
        <v>155</v>
      </c>
      <c r="E53" s="47" t="s">
        <v>107</v>
      </c>
      <c r="F53" s="48">
        <v>0</v>
      </c>
    </row>
    <row r="54" spans="1:6" ht="12.75">
      <c r="E54" s="47" t="s">
        <v>167</v>
      </c>
      <c r="F54" s="48">
        <v>0</v>
      </c>
    </row>
    <row r="55" spans="1:6" ht="12.75">
      <c r="E55" s="47" t="s">
        <v>168</v>
      </c>
      <c r="F55" s="48">
        <v>0</v>
      </c>
    </row>
    <row r="56" spans="1:6" ht="12.75">
      <c r="E56" s="47" t="s">
        <v>170</v>
      </c>
      <c r="F56" s="87" t="e">
        <f>SUM(F53:F54)/F55</f>
        <v>#DIV/0!</v>
      </c>
    </row>
    <row r="57" spans="1:6" ht="12.75">
      <c r="E57" s="50" t="s">
        <v>171</v>
      </c>
      <c r="F57" s="88" t="e">
        <f>1-F56</f>
        <v>#DIV/0!</v>
      </c>
    </row>
    <row r="59" spans="1:6" ht="12.75">
      <c r="E59" s="91" t="s">
        <v>172</v>
      </c>
      <c r="F59" s="92"/>
    </row>
    <row r="60" spans="1:6" ht="12.75">
      <c r="E60" s="47" t="s">
        <v>173</v>
      </c>
      <c r="F60" s="48">
        <v>0</v>
      </c>
    </row>
    <row r="61" spans="1:6" ht="12.75">
      <c r="E61" s="47" t="s">
        <v>174</v>
      </c>
      <c r="F61" s="48">
        <v>0</v>
      </c>
    </row>
    <row r="62" spans="1:6" ht="12.75">
      <c r="E62" s="47" t="s">
        <v>175</v>
      </c>
      <c r="F62" s="48">
        <v>0</v>
      </c>
    </row>
    <row r="63" spans="1:6" ht="12.75">
      <c r="E63" s="85" t="s">
        <v>176</v>
      </c>
      <c r="F63" s="93">
        <f>SUM(F60:F62)</f>
        <v>0</v>
      </c>
    </row>
  </sheetData>
  <mergeCells count="4">
    <mergeCell ref="A34:E34"/>
    <mergeCell ref="G34:H34"/>
    <mergeCell ref="E44:F44"/>
    <mergeCell ref="E52:F52"/>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X70"/>
  <sheetViews>
    <sheetView workbookViewId="0">
      <selection activeCell="G19" sqref="G19"/>
    </sheetView>
  </sheetViews>
  <sheetFormatPr defaultColWidth="14.42578125" defaultRowHeight="15.75" customHeight="1"/>
  <cols>
    <col min="1" max="1" width="23.5703125" customWidth="1"/>
    <col min="2" max="2" width="10.85546875" customWidth="1"/>
    <col min="3" max="3" width="36.42578125" customWidth="1"/>
    <col min="4" max="4" width="12.85546875" customWidth="1"/>
    <col min="5" max="5" width="29.85546875" customWidth="1"/>
    <col min="6" max="6" width="12.5703125" customWidth="1"/>
    <col min="7" max="7" width="20" customWidth="1"/>
    <col min="8" max="8" width="11.140625" customWidth="1"/>
    <col min="9" max="9" width="12" bestFit="1" customWidth="1"/>
  </cols>
  <sheetData>
    <row r="1" spans="3:12" ht="12.75">
      <c r="C1" s="115"/>
      <c r="D1" s="115"/>
      <c r="E1" s="116">
        <v>100</v>
      </c>
      <c r="F1" s="116">
        <v>110</v>
      </c>
      <c r="G1" s="116">
        <v>120</v>
      </c>
    </row>
    <row r="2" spans="3:12" ht="12.75">
      <c r="C2" s="106" t="s">
        <v>27</v>
      </c>
      <c r="D2" s="107" t="s">
        <v>112</v>
      </c>
      <c r="E2" s="107" t="s">
        <v>113</v>
      </c>
      <c r="F2" s="107" t="s">
        <v>114</v>
      </c>
      <c r="G2" s="107" t="s">
        <v>115</v>
      </c>
      <c r="H2" s="4" t="s">
        <v>190</v>
      </c>
    </row>
    <row r="3" spans="3:12" ht="12.75">
      <c r="C3" s="109" t="s">
        <v>177</v>
      </c>
      <c r="D3" s="110"/>
      <c r="E3" s="110">
        <v>1850</v>
      </c>
      <c r="F3" s="110">
        <v>2000</v>
      </c>
      <c r="G3" s="110">
        <v>3000</v>
      </c>
      <c r="H3" s="4">
        <v>1581</v>
      </c>
      <c r="I3" s="1624" t="s">
        <v>191</v>
      </c>
      <c r="J3" s="1611"/>
      <c r="K3" s="1611"/>
      <c r="L3" s="1611"/>
    </row>
    <row r="4" spans="3:12" ht="12.75">
      <c r="C4" s="57" t="s">
        <v>118</v>
      </c>
      <c r="D4" s="29"/>
      <c r="E4" s="29"/>
      <c r="F4" s="29"/>
      <c r="G4" s="29"/>
      <c r="I4" s="4" t="s">
        <v>192</v>
      </c>
      <c r="J4" s="4" t="s">
        <v>193</v>
      </c>
      <c r="K4" s="4" t="s">
        <v>194</v>
      </c>
      <c r="L4" s="4" t="s">
        <v>195</v>
      </c>
    </row>
    <row r="5" spans="3:12" ht="12.75">
      <c r="C5" s="47" t="s">
        <v>184</v>
      </c>
      <c r="D5" s="26"/>
      <c r="E5" s="26">
        <f>E3*E1</f>
        <v>185000</v>
      </c>
      <c r="F5" s="26">
        <f>F3*F1</f>
        <v>220000</v>
      </c>
      <c r="G5" s="26">
        <f>G3*G1</f>
        <v>360000</v>
      </c>
      <c r="I5" s="4">
        <f>(36000/E3)+75</f>
        <v>94.459459459459453</v>
      </c>
      <c r="J5" s="4">
        <f>(36000/F3)+75</f>
        <v>93</v>
      </c>
      <c r="K5" s="4">
        <f>(36000/G3)+75</f>
        <v>87</v>
      </c>
      <c r="L5" s="4">
        <f>AVERAGE(I5:K5)</f>
        <v>91.486486486486498</v>
      </c>
    </row>
    <row r="6" spans="3:12" ht="12.75">
      <c r="C6" s="47" t="s">
        <v>178</v>
      </c>
      <c r="D6" s="26"/>
      <c r="E6" s="26"/>
      <c r="F6" s="26"/>
      <c r="G6" s="26">
        <v>15000</v>
      </c>
    </row>
    <row r="7" spans="3:12" ht="12.75">
      <c r="C7" s="47" t="s">
        <v>119</v>
      </c>
      <c r="D7" s="26"/>
      <c r="E7" s="26">
        <v>0</v>
      </c>
      <c r="F7" s="26">
        <v>0</v>
      </c>
      <c r="G7" s="26">
        <v>0</v>
      </c>
    </row>
    <row r="8" spans="3:12" ht="12.75">
      <c r="C8" s="47" t="s">
        <v>120</v>
      </c>
      <c r="D8" s="26"/>
      <c r="E8" s="26">
        <v>0</v>
      </c>
      <c r="F8" s="26">
        <v>0</v>
      </c>
      <c r="G8" s="26">
        <v>0</v>
      </c>
      <c r="I8" s="15">
        <f>SUM(E3:G3)</f>
        <v>6850</v>
      </c>
      <c r="J8" s="5">
        <f>I9/I8</f>
        <v>15.766423357664234</v>
      </c>
      <c r="K8" s="5">
        <f>J8+75</f>
        <v>90.766423357664237</v>
      </c>
    </row>
    <row r="9" spans="3:12" ht="12.75">
      <c r="C9" s="57" t="s">
        <v>121</v>
      </c>
      <c r="D9" s="29"/>
      <c r="E9" s="29"/>
      <c r="F9" s="29"/>
      <c r="G9" s="29"/>
      <c r="I9" s="5">
        <f>-SUM(E12:G12)</f>
        <v>108000</v>
      </c>
    </row>
    <row r="10" spans="3:12" ht="12.75">
      <c r="C10" s="47" t="s">
        <v>122</v>
      </c>
      <c r="D10" s="26"/>
      <c r="E10" s="26">
        <f>-C44</f>
        <v>0</v>
      </c>
      <c r="F10" s="26">
        <f>-C45</f>
        <v>0</v>
      </c>
      <c r="G10" s="26">
        <f>-C46</f>
        <v>0</v>
      </c>
    </row>
    <row r="11" spans="3:12" ht="12.75">
      <c r="C11" s="47" t="s">
        <v>196</v>
      </c>
      <c r="D11" s="26"/>
      <c r="E11" s="26">
        <f>-E3*$E39</f>
        <v>-138750</v>
      </c>
      <c r="F11" s="26">
        <f>-F3*$E39</f>
        <v>-150000</v>
      </c>
      <c r="G11" s="26">
        <f>-G3*$E39</f>
        <v>-225000</v>
      </c>
      <c r="H11" s="5">
        <f>SUM(E11:G11)/SUM(E3:G3)</f>
        <v>-75</v>
      </c>
    </row>
    <row r="12" spans="3:12" ht="12.75">
      <c r="C12" s="47" t="s">
        <v>197</v>
      </c>
      <c r="D12" s="26"/>
      <c r="E12" s="26">
        <f>12*-3000</f>
        <v>-36000</v>
      </c>
      <c r="F12" s="26">
        <f>12*-3000</f>
        <v>-36000</v>
      </c>
      <c r="G12" s="26">
        <f>12*-3000</f>
        <v>-36000</v>
      </c>
    </row>
    <row r="13" spans="3:12" ht="12.75">
      <c r="C13" s="47" t="s">
        <v>186</v>
      </c>
      <c r="D13" s="26"/>
      <c r="E13" s="26"/>
      <c r="F13" s="26"/>
      <c r="G13" s="26"/>
    </row>
    <row r="14" spans="3:12" ht="12.75">
      <c r="C14" s="57" t="s">
        <v>125</v>
      </c>
      <c r="D14" s="29"/>
      <c r="E14" s="29"/>
      <c r="F14" s="29"/>
      <c r="G14" s="29"/>
    </row>
    <row r="15" spans="3:12" ht="12.75">
      <c r="C15" s="47" t="s">
        <v>198</v>
      </c>
      <c r="D15" s="26"/>
      <c r="E15" s="26"/>
      <c r="F15" s="26"/>
      <c r="G15" s="26"/>
    </row>
    <row r="16" spans="3:12" ht="12.75">
      <c r="C16" s="47" t="s">
        <v>199</v>
      </c>
      <c r="D16" s="26"/>
      <c r="E16" s="26">
        <f t="shared" ref="E16:G17" si="0">$D29/$E$33</f>
        <v>-3333.3333333333335</v>
      </c>
      <c r="F16" s="26">
        <f t="shared" si="0"/>
        <v>-3333.3333333333335</v>
      </c>
      <c r="G16" s="26">
        <f t="shared" si="0"/>
        <v>-3333.3333333333335</v>
      </c>
    </row>
    <row r="17" spans="2:24" ht="12.75">
      <c r="C17" s="47" t="s">
        <v>200</v>
      </c>
      <c r="D17" s="26"/>
      <c r="E17" s="26">
        <f t="shared" si="0"/>
        <v>-6666.666666666667</v>
      </c>
      <c r="F17" s="26">
        <f t="shared" si="0"/>
        <v>-6666.666666666667</v>
      </c>
      <c r="G17" s="26">
        <f t="shared" si="0"/>
        <v>-6666.666666666667</v>
      </c>
    </row>
    <row r="18" spans="2:24" ht="12.75">
      <c r="C18" s="47" t="s">
        <v>129</v>
      </c>
      <c r="D18" s="26"/>
      <c r="E18" s="26">
        <v>0</v>
      </c>
      <c r="F18" s="26">
        <v>0</v>
      </c>
      <c r="G18" s="26">
        <f>$G$28/5</f>
        <v>0</v>
      </c>
    </row>
    <row r="19" spans="2:24" ht="12.75">
      <c r="C19" s="47" t="s">
        <v>201</v>
      </c>
      <c r="D19" s="26"/>
      <c r="E19" s="26">
        <v>0</v>
      </c>
      <c r="F19" s="26">
        <v>0</v>
      </c>
      <c r="G19" s="26">
        <v>-15000</v>
      </c>
      <c r="M19" s="5"/>
    </row>
    <row r="20" spans="2:24" ht="14.25">
      <c r="C20" s="60" t="s">
        <v>130</v>
      </c>
      <c r="D20" s="32"/>
      <c r="E20" s="32">
        <f>SUM(E4:E19)</f>
        <v>249.99999999999909</v>
      </c>
      <c r="F20" s="32">
        <f>SUM(F4:F19)</f>
        <v>24000</v>
      </c>
      <c r="G20" s="32">
        <f>SUM(G4:G19)</f>
        <v>89000</v>
      </c>
      <c r="L20" s="5"/>
    </row>
    <row r="21" spans="2:24" ht="12.75">
      <c r="B21" s="3"/>
      <c r="C21" s="62" t="s">
        <v>159</v>
      </c>
      <c r="D21" s="26"/>
      <c r="E21" s="26">
        <f>E20*$B$33</f>
        <v>24.999999999999911</v>
      </c>
      <c r="F21" s="26">
        <f>F20*$B$33</f>
        <v>2400</v>
      </c>
      <c r="G21" s="26">
        <f>G20*$B$33</f>
        <v>8900</v>
      </c>
      <c r="L21" s="5"/>
    </row>
    <row r="22" spans="2:24" ht="28.5">
      <c r="C22" s="63" t="s">
        <v>132</v>
      </c>
      <c r="D22" s="35"/>
      <c r="E22" s="35">
        <f>E20-E21</f>
        <v>224.99999999999918</v>
      </c>
      <c r="F22" s="35">
        <f>F20-F21</f>
        <v>21600</v>
      </c>
      <c r="G22" s="35">
        <f>G20-G21</f>
        <v>80100</v>
      </c>
      <c r="L22" s="5"/>
    </row>
    <row r="23" spans="2:24" ht="12.75">
      <c r="C23" s="62" t="s">
        <v>133</v>
      </c>
      <c r="D23" s="26"/>
      <c r="E23" s="26">
        <f>-SUM(E15:E19)</f>
        <v>10000</v>
      </c>
      <c r="F23" s="26">
        <f>-SUM(F15:F19)</f>
        <v>10000</v>
      </c>
      <c r="G23" s="26">
        <f>-SUM(G15:G19)</f>
        <v>25000</v>
      </c>
      <c r="L23" s="5"/>
    </row>
    <row r="24" spans="2:24" ht="12.75">
      <c r="C24" s="47" t="s">
        <v>187</v>
      </c>
      <c r="D24" s="26"/>
      <c r="E24" s="26">
        <f>-D44</f>
        <v>0</v>
      </c>
      <c r="F24" s="26">
        <f>-D45</f>
        <v>0</v>
      </c>
      <c r="G24" s="26">
        <f>-D46</f>
        <v>0</v>
      </c>
    </row>
    <row r="25" spans="2:24" ht="12.75">
      <c r="C25" s="47" t="s">
        <v>135</v>
      </c>
      <c r="D25" s="26"/>
      <c r="E25" s="26"/>
      <c r="F25" s="26"/>
      <c r="G25" s="26"/>
    </row>
    <row r="26" spans="2:24" ht="12.75">
      <c r="C26" s="47" t="s">
        <v>202</v>
      </c>
      <c r="D26" s="26">
        <f>(E11/12)*2</f>
        <v>-23125</v>
      </c>
      <c r="E26" s="26">
        <f>(F11/6)-D26</f>
        <v>-1875</v>
      </c>
      <c r="F26" s="26">
        <f>(G11/6)-E26-D26</f>
        <v>-12500</v>
      </c>
      <c r="G26" s="26"/>
      <c r="M26" s="5"/>
      <c r="N26" s="5"/>
      <c r="O26" s="5"/>
      <c r="P26" s="5"/>
      <c r="Q26" s="5"/>
      <c r="R26" s="5"/>
      <c r="S26" s="5"/>
      <c r="T26" s="5"/>
      <c r="U26" s="5"/>
      <c r="V26" s="5"/>
      <c r="W26" s="5"/>
      <c r="X26" s="5"/>
    </row>
    <row r="27" spans="2:24" ht="12.75">
      <c r="C27" s="47" t="s">
        <v>203</v>
      </c>
      <c r="D27" s="26"/>
      <c r="E27" s="26"/>
      <c r="F27" s="26"/>
      <c r="G27" s="26">
        <f>(H11/6)-F26-E26-D26</f>
        <v>37487.5</v>
      </c>
    </row>
    <row r="28" spans="2:24" ht="12.75">
      <c r="C28" s="47" t="s">
        <v>204</v>
      </c>
      <c r="D28" s="26">
        <v>-15000</v>
      </c>
      <c r="E28" s="26"/>
      <c r="F28" s="26"/>
      <c r="G28" s="26"/>
    </row>
    <row r="29" spans="2:24" ht="12.75">
      <c r="C29" s="117" t="s">
        <v>205</v>
      </c>
      <c r="D29" s="118">
        <v>-10000</v>
      </c>
      <c r="E29" s="118"/>
      <c r="F29" s="118"/>
      <c r="G29" s="118"/>
    </row>
    <row r="30" spans="2:24" ht="12.75">
      <c r="C30" s="117" t="s">
        <v>206</v>
      </c>
      <c r="D30" s="118">
        <v>-20000</v>
      </c>
      <c r="E30" s="118"/>
      <c r="F30" s="118"/>
      <c r="G30" s="118"/>
      <c r="H30" s="112" t="s">
        <v>29</v>
      </c>
      <c r="I30" s="96">
        <v>0.13</v>
      </c>
    </row>
    <row r="31" spans="2:24" ht="14.25">
      <c r="C31" s="66" t="s">
        <v>139</v>
      </c>
      <c r="D31" s="67">
        <f>SUM(D22:D30)</f>
        <v>-68125</v>
      </c>
      <c r="E31" s="67">
        <f>SUM(E22:E30)</f>
        <v>8350</v>
      </c>
      <c r="F31" s="67">
        <f>SUM(F22:F30)</f>
        <v>19100</v>
      </c>
      <c r="G31" s="67">
        <f>SUM(G22:G30)</f>
        <v>142587.5</v>
      </c>
      <c r="H31" s="113">
        <f t="array" ref="H31">D31+NPV(I30,E31:G31)</f>
        <v>53042.772197183891</v>
      </c>
    </row>
    <row r="32" spans="2:24" ht="12.75">
      <c r="D32" s="119"/>
      <c r="E32" s="119"/>
      <c r="F32" s="119"/>
      <c r="G32" s="119"/>
      <c r="H32" s="119"/>
      <c r="I32" s="119"/>
    </row>
    <row r="33" spans="1:6" ht="12.75">
      <c r="A33" s="71" t="s">
        <v>160</v>
      </c>
      <c r="B33" s="98">
        <v>0.1</v>
      </c>
      <c r="D33" s="71" t="s">
        <v>53</v>
      </c>
      <c r="E33" s="114">
        <v>3</v>
      </c>
    </row>
    <row r="34" spans="1:6" ht="12.75">
      <c r="D34" s="1623" t="s">
        <v>179</v>
      </c>
      <c r="E34" s="1614"/>
    </row>
    <row r="35" spans="1:6" ht="12.75">
      <c r="A35" s="73" t="s">
        <v>0</v>
      </c>
      <c r="B35" s="74">
        <v>0</v>
      </c>
      <c r="D35" s="21" t="s">
        <v>207</v>
      </c>
      <c r="E35" s="26">
        <v>10</v>
      </c>
    </row>
    <row r="36" spans="1:6" ht="12.75">
      <c r="A36" s="75" t="s">
        <v>104</v>
      </c>
      <c r="B36" s="76">
        <v>12</v>
      </c>
      <c r="D36" s="21" t="s">
        <v>208</v>
      </c>
      <c r="E36" s="26">
        <v>12</v>
      </c>
      <c r="F36" s="4" t="s">
        <v>209</v>
      </c>
    </row>
    <row r="37" spans="1:6" ht="12.75">
      <c r="A37" s="75"/>
      <c r="B37" s="76">
        <v>12</v>
      </c>
      <c r="D37" s="21" t="s">
        <v>210</v>
      </c>
      <c r="E37" s="26">
        <v>30</v>
      </c>
      <c r="F37" s="4">
        <v>40.89</v>
      </c>
    </row>
    <row r="38" spans="1:6" ht="12.75">
      <c r="A38" s="75" t="s">
        <v>3</v>
      </c>
      <c r="B38" s="77">
        <f>((1+B35/B36)^B37)-1</f>
        <v>0</v>
      </c>
      <c r="D38" s="21" t="s">
        <v>181</v>
      </c>
      <c r="E38" s="26">
        <v>23</v>
      </c>
    </row>
    <row r="39" spans="1:6" ht="12.75">
      <c r="A39" s="78" t="s">
        <v>104</v>
      </c>
      <c r="B39" s="79">
        <v>5</v>
      </c>
      <c r="D39" s="21" t="s">
        <v>176</v>
      </c>
      <c r="E39" s="105">
        <f>SUM(E35:E38)</f>
        <v>75</v>
      </c>
    </row>
    <row r="41" spans="1:6" ht="12.75">
      <c r="A41" s="1620" t="s">
        <v>103</v>
      </c>
      <c r="B41" s="1621"/>
      <c r="C41" s="1621"/>
      <c r="D41" s="1621"/>
      <c r="E41" s="1622"/>
    </row>
    <row r="42" spans="1:6" ht="12.75">
      <c r="A42" s="99" t="s">
        <v>105</v>
      </c>
      <c r="B42" s="100" t="s">
        <v>106</v>
      </c>
      <c r="C42" s="100" t="s">
        <v>102</v>
      </c>
      <c r="D42" s="100" t="s">
        <v>53</v>
      </c>
      <c r="E42" s="101" t="s">
        <v>107</v>
      </c>
    </row>
    <row r="43" spans="1:6" ht="12.75">
      <c r="A43" s="25">
        <v>0</v>
      </c>
      <c r="B43" s="26"/>
      <c r="C43" s="26"/>
      <c r="D43" s="26"/>
      <c r="E43" s="26">
        <f>D25</f>
        <v>0</v>
      </c>
    </row>
    <row r="44" spans="1:6" ht="12.75">
      <c r="A44" s="25">
        <v>1</v>
      </c>
      <c r="B44" s="26">
        <f>C44+D44</f>
        <v>0</v>
      </c>
      <c r="C44" s="26">
        <f>E43*$B$38</f>
        <v>0</v>
      </c>
      <c r="D44" s="26">
        <f>$E$43/$B$39</f>
        <v>0</v>
      </c>
      <c r="E44" s="26">
        <f>E43-D44</f>
        <v>0</v>
      </c>
    </row>
    <row r="45" spans="1:6" ht="12.75">
      <c r="A45" s="25">
        <v>2</v>
      </c>
      <c r="B45" s="26">
        <f>C45+D45</f>
        <v>0</v>
      </c>
      <c r="C45" s="26">
        <f>E44*$B$38</f>
        <v>0</v>
      </c>
      <c r="D45" s="26">
        <f>$E$43/$B$39</f>
        <v>0</v>
      </c>
      <c r="E45" s="26">
        <f>E44-D45</f>
        <v>0</v>
      </c>
    </row>
    <row r="46" spans="1:6" ht="12.75">
      <c r="A46" s="25">
        <v>3</v>
      </c>
      <c r="B46" s="26">
        <f>C46+D46</f>
        <v>0</v>
      </c>
      <c r="C46" s="26">
        <f>E45*$B$38</f>
        <v>0</v>
      </c>
      <c r="D46" s="26">
        <f>$E$43/$B$39</f>
        <v>0</v>
      </c>
      <c r="E46" s="26">
        <f>E45-D46</f>
        <v>0</v>
      </c>
    </row>
    <row r="47" spans="1:6" ht="12.75">
      <c r="A47" s="25">
        <v>4</v>
      </c>
      <c r="B47" s="26">
        <f>C47+D47</f>
        <v>0</v>
      </c>
      <c r="C47" s="26">
        <f>E46*$B$38</f>
        <v>0</v>
      </c>
      <c r="D47" s="26">
        <f>$E$43/$B$39</f>
        <v>0</v>
      </c>
      <c r="E47" s="26">
        <f>E46-D47</f>
        <v>0</v>
      </c>
    </row>
    <row r="48" spans="1:6" ht="12.75">
      <c r="A48" s="25">
        <v>5</v>
      </c>
      <c r="B48" s="26">
        <f>C48+D48</f>
        <v>0</v>
      </c>
      <c r="C48" s="26">
        <f>E47*$B$38</f>
        <v>0</v>
      </c>
      <c r="D48" s="26">
        <f>$E$43/$B$39</f>
        <v>0</v>
      </c>
      <c r="E48" s="26">
        <f>E47-D48</f>
        <v>0</v>
      </c>
    </row>
    <row r="51" spans="1:6" ht="14.25">
      <c r="A51" s="40" t="s">
        <v>140</v>
      </c>
      <c r="B51" s="41">
        <f>(B53*B59)+ (B58*B60*(1-B57))</f>
        <v>0.2271</v>
      </c>
      <c r="E51" s="1619" t="s">
        <v>150</v>
      </c>
      <c r="F51" s="1618"/>
    </row>
    <row r="52" spans="1:6" ht="15.75" customHeight="1">
      <c r="A52" s="42" t="s">
        <v>141</v>
      </c>
      <c r="B52" s="43" t="s">
        <v>142</v>
      </c>
      <c r="E52" s="47" t="s">
        <v>161</v>
      </c>
      <c r="F52" s="48">
        <v>0</v>
      </c>
    </row>
    <row r="53" spans="1:6" ht="15.75" customHeight="1">
      <c r="A53" s="44" t="s">
        <v>143</v>
      </c>
      <c r="B53" s="45">
        <f>B54+B55*(B56-B54)</f>
        <v>0.2271</v>
      </c>
      <c r="E53" s="47" t="s">
        <v>162</v>
      </c>
      <c r="F53" s="48">
        <v>0</v>
      </c>
    </row>
    <row r="54" spans="1:6" ht="15.75" customHeight="1">
      <c r="A54" s="44" t="s">
        <v>144</v>
      </c>
      <c r="B54" s="46">
        <f>7%+12%+3.71%</f>
        <v>0.2271</v>
      </c>
      <c r="C54" s="4" t="s">
        <v>145</v>
      </c>
      <c r="E54" s="47" t="s">
        <v>163</v>
      </c>
      <c r="F54" s="49">
        <v>0.01</v>
      </c>
    </row>
    <row r="55" spans="1:6" ht="12.75">
      <c r="A55" s="47" t="s">
        <v>7</v>
      </c>
      <c r="B55" s="48">
        <v>0</v>
      </c>
      <c r="E55" s="47" t="s">
        <v>164</v>
      </c>
      <c r="F55" s="49">
        <v>0.01</v>
      </c>
    </row>
    <row r="56" spans="1:6" ht="12.75">
      <c r="A56" s="47" t="s">
        <v>146</v>
      </c>
      <c r="B56" s="49">
        <v>0</v>
      </c>
      <c r="C56" s="4" t="s">
        <v>147</v>
      </c>
      <c r="E56" s="85" t="s">
        <v>165</v>
      </c>
      <c r="F56" s="86">
        <f>F55*(F52/F70)+F54*(F53/F70)</f>
        <v>0</v>
      </c>
    </row>
    <row r="57" spans="1:6" ht="12.75">
      <c r="A57" s="47" t="s">
        <v>148</v>
      </c>
      <c r="B57" s="87">
        <f>B33</f>
        <v>0.1</v>
      </c>
      <c r="C57" s="4" t="s">
        <v>149</v>
      </c>
      <c r="D57" s="4"/>
      <c r="E57" s="4"/>
    </row>
    <row r="58" spans="1:6" ht="12.75">
      <c r="A58" s="47" t="s">
        <v>150</v>
      </c>
      <c r="B58" s="87">
        <f>F56</f>
        <v>0</v>
      </c>
      <c r="C58" s="4" t="s">
        <v>151</v>
      </c>
      <c r="D58" s="4"/>
      <c r="E58" s="4"/>
    </row>
    <row r="59" spans="1:6" ht="14.25">
      <c r="A59" s="47" t="s">
        <v>152</v>
      </c>
      <c r="B59" s="87">
        <f>F63</f>
        <v>1</v>
      </c>
      <c r="C59" s="4" t="s">
        <v>153</v>
      </c>
      <c r="E59" s="1619" t="s">
        <v>166</v>
      </c>
      <c r="F59" s="1618"/>
    </row>
    <row r="60" spans="1:6" ht="12.75">
      <c r="A60" s="50" t="s">
        <v>154</v>
      </c>
      <c r="B60" s="88">
        <f>F64</f>
        <v>0</v>
      </c>
      <c r="C60" s="4" t="s">
        <v>155</v>
      </c>
      <c r="E60" s="47" t="s">
        <v>107</v>
      </c>
      <c r="F60" s="48">
        <v>1</v>
      </c>
    </row>
    <row r="61" spans="1:6" ht="12.75">
      <c r="E61" s="47" t="s">
        <v>167</v>
      </c>
      <c r="F61" s="48">
        <v>0</v>
      </c>
    </row>
    <row r="62" spans="1:6" ht="12.75">
      <c r="E62" s="47" t="s">
        <v>168</v>
      </c>
      <c r="F62" s="48">
        <v>1</v>
      </c>
    </row>
    <row r="63" spans="1:6" ht="12.75">
      <c r="E63" s="47" t="s">
        <v>170</v>
      </c>
      <c r="F63" s="87">
        <f>SUM(F60:F61)/F62</f>
        <v>1</v>
      </c>
    </row>
    <row r="64" spans="1:6" ht="12.75">
      <c r="E64" s="50" t="s">
        <v>171</v>
      </c>
      <c r="F64" s="88">
        <f>1-F63</f>
        <v>0</v>
      </c>
    </row>
    <row r="66" spans="5:6" ht="12.75">
      <c r="E66" s="91" t="s">
        <v>172</v>
      </c>
      <c r="F66" s="92"/>
    </row>
    <row r="67" spans="5:6" ht="12.75">
      <c r="E67" s="47" t="s">
        <v>173</v>
      </c>
      <c r="F67" s="48">
        <v>1</v>
      </c>
    </row>
    <row r="68" spans="5:6" ht="12.75">
      <c r="E68" s="47" t="s">
        <v>174</v>
      </c>
      <c r="F68" s="48">
        <v>0</v>
      </c>
    </row>
    <row r="69" spans="5:6" ht="12.75">
      <c r="E69" s="47" t="s">
        <v>175</v>
      </c>
      <c r="F69" s="48">
        <v>0</v>
      </c>
    </row>
    <row r="70" spans="5:6" ht="12.75">
      <c r="E70" s="85" t="s">
        <v>176</v>
      </c>
      <c r="F70" s="93">
        <f>SUM(F67:F69)</f>
        <v>1</v>
      </c>
    </row>
  </sheetData>
  <mergeCells count="5">
    <mergeCell ref="I3:L3"/>
    <mergeCell ref="D34:E34"/>
    <mergeCell ref="A41:E41"/>
    <mergeCell ref="E51:F51"/>
    <mergeCell ref="E59:F59"/>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Q80"/>
  <sheetViews>
    <sheetView topLeftCell="B1" workbookViewId="0">
      <selection activeCell="B4" sqref="B4"/>
    </sheetView>
  </sheetViews>
  <sheetFormatPr defaultColWidth="14.42578125" defaultRowHeight="15.75" customHeight="1"/>
  <cols>
    <col min="1" max="1" width="27.5703125" customWidth="1"/>
    <col min="2" max="2" width="33.28515625" customWidth="1"/>
    <col min="3" max="3" width="18" customWidth="1"/>
    <col min="4" max="7" width="14.5703125" customWidth="1"/>
    <col min="8" max="8" width="15.140625" customWidth="1"/>
    <col min="9" max="9" width="23.85546875" bestFit="1" customWidth="1"/>
    <col min="10" max="10" width="25.28515625" customWidth="1"/>
    <col min="17" max="17" width="31" customWidth="1"/>
  </cols>
  <sheetData>
    <row r="1" spans="1:17" ht="13.5" thickBot="1">
      <c r="A1" s="194" t="s">
        <v>0</v>
      </c>
      <c r="B1" s="200">
        <v>0.3</v>
      </c>
      <c r="C1" s="201"/>
      <c r="D1" s="1629" t="s">
        <v>103</v>
      </c>
      <c r="E1" s="1621"/>
      <c r="F1" s="1621"/>
      <c r="G1" s="1621"/>
      <c r="H1" s="1622"/>
    </row>
    <row r="2" spans="1:17" ht="13.5" thickBot="1">
      <c r="A2" s="195" t="s">
        <v>104</v>
      </c>
      <c r="B2" s="206">
        <f>360/30</f>
        <v>12</v>
      </c>
      <c r="C2" s="1625" t="s">
        <v>281</v>
      </c>
      <c r="D2" s="197" t="s">
        <v>105</v>
      </c>
      <c r="E2" s="100" t="s">
        <v>106</v>
      </c>
      <c r="F2" s="100" t="s">
        <v>102</v>
      </c>
      <c r="G2" s="100" t="s">
        <v>53</v>
      </c>
      <c r="H2" s="101" t="s">
        <v>107</v>
      </c>
      <c r="J2" s="236" t="s">
        <v>260</v>
      </c>
      <c r="K2" s="237"/>
      <c r="L2" s="237"/>
      <c r="M2" s="238"/>
      <c r="N2" s="214" t="s">
        <v>304</v>
      </c>
      <c r="O2" s="237"/>
      <c r="P2" s="240" t="s">
        <v>300</v>
      </c>
      <c r="Q2" s="241" t="s">
        <v>301</v>
      </c>
    </row>
    <row r="3" spans="1:17" ht="12.75">
      <c r="A3" s="195"/>
      <c r="B3" s="202"/>
      <c r="C3" s="1626"/>
      <c r="D3" s="198">
        <v>0</v>
      </c>
      <c r="E3" s="103"/>
      <c r="F3" s="103"/>
      <c r="G3" s="103"/>
      <c r="H3" s="120">
        <f>C63</f>
        <v>420000</v>
      </c>
      <c r="J3" s="242" t="s">
        <v>298</v>
      </c>
      <c r="K3" s="233" t="s">
        <v>293</v>
      </c>
      <c r="L3" s="233" t="s">
        <v>294</v>
      </c>
      <c r="M3" s="233" t="s">
        <v>299</v>
      </c>
      <c r="N3" s="239">
        <v>420000</v>
      </c>
      <c r="O3" s="232"/>
      <c r="P3" s="233" t="s">
        <v>302</v>
      </c>
      <c r="Q3" s="243"/>
    </row>
    <row r="4" spans="1:17" ht="12.75">
      <c r="A4" s="195" t="s">
        <v>3</v>
      </c>
      <c r="B4" s="203">
        <f>((1+B1/B2)^B2)-1</f>
        <v>0.34488882424629752</v>
      </c>
      <c r="C4" s="1626"/>
      <c r="D4" s="199">
        <v>1</v>
      </c>
      <c r="E4" s="105">
        <f>$H$3*($B$4/((1-(1+$B$4)^-$B$5)))</f>
        <v>245970.04975974813</v>
      </c>
      <c r="F4" s="105">
        <f>H3*$B$4</f>
        <v>144853.30618344495</v>
      </c>
      <c r="G4" s="105">
        <f>E4-F4</f>
        <v>101116.74357630318</v>
      </c>
      <c r="H4" s="121">
        <f>H3-G4</f>
        <v>318883.25642369682</v>
      </c>
      <c r="J4" s="244">
        <v>1</v>
      </c>
      <c r="K4" s="234">
        <f>$N$3*$Q$5/(1-(1+$B$4)^-3)</f>
        <v>245970.04975974813</v>
      </c>
      <c r="L4" s="235">
        <f>N3*$Q$5</f>
        <v>144853.30618344495</v>
      </c>
      <c r="M4" s="234">
        <f>K4-L4</f>
        <v>101116.74357630318</v>
      </c>
      <c r="N4" s="235">
        <f>N3-M4</f>
        <v>318883.25642369682</v>
      </c>
      <c r="O4" s="232"/>
      <c r="P4" s="233" t="s">
        <v>303</v>
      </c>
      <c r="Q4" s="243"/>
    </row>
    <row r="5" spans="1:17" ht="13.5" thickBot="1">
      <c r="A5" s="196" t="s">
        <v>104</v>
      </c>
      <c r="B5" s="204">
        <v>3</v>
      </c>
      <c r="C5" s="205"/>
      <c r="D5" s="199">
        <v>2</v>
      </c>
      <c r="E5" s="105">
        <f>$H$3*($B$4/((1-(1+$B$4)^-$B$5)))</f>
        <v>245970.04975974813</v>
      </c>
      <c r="F5" s="105">
        <f>H4*$B$4</f>
        <v>109979.27137979939</v>
      </c>
      <c r="G5" s="105">
        <f>E5-F5</f>
        <v>135990.77837994875</v>
      </c>
      <c r="H5" s="121">
        <f>H4-G5</f>
        <v>182892.47804374807</v>
      </c>
      <c r="J5" s="244">
        <v>2</v>
      </c>
      <c r="K5" s="234">
        <f>$N$3*$Q$5/(1-(1+$B$4)^-3)</f>
        <v>245970.04975974813</v>
      </c>
      <c r="L5" s="235">
        <f>N4*$Q$5</f>
        <v>109979.27137979939</v>
      </c>
      <c r="M5" s="234">
        <f>K5-L5</f>
        <v>135990.77837994875</v>
      </c>
      <c r="N5" s="235">
        <f>N4-M5</f>
        <v>182892.47804374807</v>
      </c>
      <c r="O5" s="232"/>
      <c r="P5" s="233" t="s">
        <v>3</v>
      </c>
      <c r="Q5" s="248">
        <f>((1+B1/B2)^B2)-1</f>
        <v>0.34488882424629752</v>
      </c>
    </row>
    <row r="6" spans="1:17" ht="13.5" thickBot="1">
      <c r="D6" s="50">
        <v>3</v>
      </c>
      <c r="E6" s="122">
        <f>$H$3*($B$4/((1-(1+$B$4)^-$B$5)))</f>
        <v>245970.04975974813</v>
      </c>
      <c r="F6" s="122">
        <f>H5*$B$4</f>
        <v>63077.571716000057</v>
      </c>
      <c r="G6" s="122">
        <f>E6-F6</f>
        <v>182892.47804374807</v>
      </c>
      <c r="H6" s="123">
        <f>H5-G6</f>
        <v>0</v>
      </c>
      <c r="J6" s="244">
        <v>3</v>
      </c>
      <c r="K6" s="234">
        <f>$N$3*$Q$5/(1-(1+$B$4)^-3)</f>
        <v>245970.04975974813</v>
      </c>
      <c r="L6" s="235">
        <f>N5*$Q$5</f>
        <v>63077.571716000057</v>
      </c>
      <c r="M6" s="234">
        <f>K6-L6</f>
        <v>182892.47804374807</v>
      </c>
      <c r="N6" s="235">
        <f>N5-M6</f>
        <v>0</v>
      </c>
      <c r="O6" s="232"/>
      <c r="P6" s="233" t="s">
        <v>104</v>
      </c>
      <c r="Q6" s="243">
        <v>3</v>
      </c>
    </row>
    <row r="7" spans="1:17" ht="12.75">
      <c r="A7" s="1630" t="s">
        <v>211</v>
      </c>
      <c r="B7" s="1618"/>
      <c r="D7" s="4"/>
      <c r="E7" s="5"/>
      <c r="F7" s="5"/>
      <c r="G7" s="5"/>
      <c r="H7" s="5"/>
      <c r="J7" s="244"/>
      <c r="K7" s="232"/>
      <c r="L7" s="232"/>
      <c r="M7" s="232"/>
      <c r="N7" s="232"/>
      <c r="O7" s="232"/>
      <c r="P7" s="232"/>
      <c r="Q7" s="243"/>
    </row>
    <row r="8" spans="1:17" ht="13.5" thickBot="1">
      <c r="A8" s="75" t="s">
        <v>212</v>
      </c>
      <c r="B8" s="59">
        <v>9000</v>
      </c>
      <c r="J8" s="245"/>
      <c r="K8" s="246"/>
      <c r="L8" s="246"/>
      <c r="M8" s="246"/>
      <c r="N8" s="246"/>
      <c r="O8" s="246"/>
      <c r="P8" s="246"/>
      <c r="Q8" s="247"/>
    </row>
    <row r="9" spans="1:17" ht="12.75">
      <c r="A9" s="75" t="s">
        <v>213</v>
      </c>
      <c r="B9" s="59">
        <v>3000</v>
      </c>
    </row>
    <row r="10" spans="1:17" ht="12.75">
      <c r="A10" s="75" t="s">
        <v>214</v>
      </c>
      <c r="B10" s="59">
        <v>6000</v>
      </c>
    </row>
    <row r="11" spans="1:17" ht="12.75">
      <c r="A11" s="75" t="s">
        <v>181</v>
      </c>
      <c r="B11" s="59">
        <v>12000</v>
      </c>
      <c r="L11" t="s">
        <v>261</v>
      </c>
    </row>
    <row r="12" spans="1:17" ht="12.75">
      <c r="A12" s="78" t="s">
        <v>176</v>
      </c>
      <c r="B12" s="253">
        <f>SUM(B8:B11)</f>
        <v>30000</v>
      </c>
      <c r="D12" s="124" t="s">
        <v>215</v>
      </c>
      <c r="E12" s="125">
        <f>B12+(B14/300)</f>
        <v>35000</v>
      </c>
      <c r="L12" t="s">
        <v>262</v>
      </c>
    </row>
    <row r="13" spans="1:17" ht="15.75" customHeight="1">
      <c r="J13" s="192" t="s">
        <v>260</v>
      </c>
    </row>
    <row r="14" spans="1:17" ht="15" thickBot="1">
      <c r="A14" s="124" t="s">
        <v>216</v>
      </c>
      <c r="B14" s="252">
        <v>1500000</v>
      </c>
      <c r="D14" s="40" t="s">
        <v>140</v>
      </c>
      <c r="E14" s="41">
        <f>(E16*E22)+ (E21*E23*(1-E20))</f>
        <v>0.06</v>
      </c>
    </row>
    <row r="15" spans="1:17" ht="15.75" customHeight="1" thickBot="1">
      <c r="D15" s="42" t="s">
        <v>141</v>
      </c>
      <c r="E15" s="43" t="s">
        <v>142</v>
      </c>
      <c r="J15" s="1635" t="s">
        <v>263</v>
      </c>
      <c r="K15" s="1635"/>
      <c r="L15" s="1635"/>
      <c r="M15" s="1635"/>
    </row>
    <row r="16" spans="1:17" ht="15.75" customHeight="1" thickBot="1">
      <c r="A16" s="1631" t="s">
        <v>217</v>
      </c>
      <c r="B16" s="1632"/>
      <c r="D16" s="44" t="s">
        <v>143</v>
      </c>
      <c r="E16" s="45">
        <v>0.06</v>
      </c>
      <c r="F16" s="187" t="s">
        <v>264</v>
      </c>
    </row>
    <row r="17" spans="1:13" ht="15.75" customHeight="1" thickBot="1">
      <c r="A17" s="47" t="s">
        <v>218</v>
      </c>
      <c r="B17" s="126">
        <v>4</v>
      </c>
      <c r="D17" s="44" t="s">
        <v>144</v>
      </c>
      <c r="E17" s="46">
        <v>0.04</v>
      </c>
      <c r="F17" s="186" t="s">
        <v>310</v>
      </c>
      <c r="I17" s="188" t="s">
        <v>265</v>
      </c>
      <c r="J17" s="189">
        <f>E17+(E18*(E19-E17))</f>
        <v>0.06</v>
      </c>
    </row>
    <row r="18" spans="1:13" ht="12.75">
      <c r="A18" s="47" t="s">
        <v>219</v>
      </c>
      <c r="B18" s="126">
        <v>10</v>
      </c>
      <c r="D18" s="47" t="s">
        <v>7</v>
      </c>
      <c r="E18" s="48">
        <v>1</v>
      </c>
      <c r="F18" s="186" t="s">
        <v>309</v>
      </c>
    </row>
    <row r="19" spans="1:13" ht="12.75">
      <c r="A19" s="47" t="s">
        <v>220</v>
      </c>
      <c r="B19" s="126">
        <v>45000</v>
      </c>
      <c r="D19" s="47" t="s">
        <v>146</v>
      </c>
      <c r="E19" s="49">
        <v>0.06</v>
      </c>
      <c r="F19" s="186" t="s">
        <v>308</v>
      </c>
      <c r="J19" s="1635" t="s">
        <v>266</v>
      </c>
      <c r="K19" s="1635"/>
      <c r="L19" s="1635"/>
      <c r="M19" s="1635"/>
    </row>
    <row r="20" spans="1:13" ht="13.5" thickBot="1">
      <c r="A20" s="127" t="s">
        <v>176</v>
      </c>
      <c r="B20" s="128">
        <f>B19*B18*B17</f>
        <v>1800000</v>
      </c>
      <c r="D20" s="47" t="s">
        <v>148</v>
      </c>
      <c r="E20" s="49">
        <v>0.1</v>
      </c>
      <c r="F20" s="186" t="s">
        <v>311</v>
      </c>
      <c r="H20" s="4"/>
    </row>
    <row r="21" spans="1:13" ht="13.5" thickBot="1">
      <c r="D21" s="47" t="s">
        <v>150</v>
      </c>
      <c r="E21" s="87">
        <v>0.1</v>
      </c>
      <c r="F21" s="186" t="s">
        <v>307</v>
      </c>
      <c r="G21" s="210">
        <f>E28*E29+F28*F29</f>
        <v>0.24800000000000003</v>
      </c>
      <c r="H21" s="4"/>
      <c r="I21" s="190" t="s">
        <v>267</v>
      </c>
      <c r="J21" s="191">
        <f>E21*(1-E20)*E23+E16*E22</f>
        <v>0.06</v>
      </c>
    </row>
    <row r="22" spans="1:13" ht="12.75">
      <c r="A22" s="1633" t="s">
        <v>221</v>
      </c>
      <c r="B22" s="1618"/>
      <c r="D22" s="47" t="s">
        <v>152</v>
      </c>
      <c r="E22" s="129">
        <v>1</v>
      </c>
      <c r="G22" s="210">
        <f>G26/(G26+G27)</f>
        <v>0.64387464387464388</v>
      </c>
    </row>
    <row r="23" spans="1:13" ht="63.75">
      <c r="A23" s="130" t="s">
        <v>222</v>
      </c>
      <c r="B23" s="59">
        <f>(D43/12)*0.2</f>
        <v>262500</v>
      </c>
      <c r="C23" s="223" t="s">
        <v>312</v>
      </c>
      <c r="D23" s="50" t="s">
        <v>154</v>
      </c>
      <c r="E23" s="131">
        <v>0</v>
      </c>
      <c r="F23" s="4"/>
      <c r="G23" s="210">
        <f>G27/(G26+G27)</f>
        <v>0.35612535612535612</v>
      </c>
      <c r="J23" t="s">
        <v>268</v>
      </c>
    </row>
    <row r="24" spans="1:13" ht="12.75">
      <c r="A24" s="47" t="s">
        <v>223</v>
      </c>
      <c r="B24" s="59">
        <v>-3000</v>
      </c>
      <c r="J24" t="s">
        <v>269</v>
      </c>
    </row>
    <row r="25" spans="1:13" ht="12.75">
      <c r="A25" s="47" t="s">
        <v>224</v>
      </c>
      <c r="B25" s="59">
        <f>-B8*(D32/12)</f>
        <v>-225000</v>
      </c>
      <c r="C25" s="186" t="s">
        <v>305</v>
      </c>
      <c r="D25" s="1634" t="s">
        <v>225</v>
      </c>
      <c r="E25" s="1617"/>
      <c r="F25" s="1617"/>
      <c r="G25" s="1618"/>
    </row>
    <row r="26" spans="1:13" ht="12.75">
      <c r="A26" s="47" t="s">
        <v>226</v>
      </c>
      <c r="B26" s="59">
        <f>D49/12</f>
        <v>-131250</v>
      </c>
      <c r="D26" s="132" t="s">
        <v>227</v>
      </c>
      <c r="E26" s="25">
        <v>10000</v>
      </c>
      <c r="F26" s="25">
        <v>45.2</v>
      </c>
      <c r="G26" s="133">
        <f>F26*E26</f>
        <v>452000</v>
      </c>
      <c r="H26" s="186" t="s">
        <v>306</v>
      </c>
    </row>
    <row r="27" spans="1:13" ht="12.75">
      <c r="A27" s="47" t="s">
        <v>228</v>
      </c>
      <c r="B27" s="59">
        <f>(D46)/13</f>
        <v>-116250</v>
      </c>
      <c r="D27" s="132" t="s">
        <v>229</v>
      </c>
      <c r="E27" s="25">
        <v>100000</v>
      </c>
      <c r="F27" s="25">
        <v>150000</v>
      </c>
      <c r="G27" s="133">
        <f>F27+E27</f>
        <v>250000</v>
      </c>
    </row>
    <row r="28" spans="1:13" ht="12.75">
      <c r="A28" s="47" t="s">
        <v>230</v>
      </c>
      <c r="B28" s="59">
        <f>D47/13</f>
        <v>-124000</v>
      </c>
      <c r="D28" s="132" t="s">
        <v>231</v>
      </c>
      <c r="E28" s="134">
        <v>0.2</v>
      </c>
      <c r="F28" s="134">
        <v>0.28000000000000003</v>
      </c>
      <c r="G28" s="126"/>
    </row>
    <row r="29" spans="1:13" ht="12.75">
      <c r="A29" s="127" t="s">
        <v>232</v>
      </c>
      <c r="B29" s="135">
        <f>SUM(B23:B28)</f>
        <v>-337000</v>
      </c>
      <c r="D29" s="136" t="s">
        <v>233</v>
      </c>
      <c r="E29" s="137">
        <f>E27/$G$27</f>
        <v>0.4</v>
      </c>
      <c r="F29" s="137">
        <f>F27/$G$27</f>
        <v>0.6</v>
      </c>
      <c r="G29" s="138"/>
    </row>
    <row r="32" spans="1:13" ht="12.75">
      <c r="B32" s="109" t="s">
        <v>177</v>
      </c>
      <c r="C32" s="139"/>
      <c r="D32" s="110">
        <v>300</v>
      </c>
      <c r="E32" s="110">
        <f>D32*(1+E33)</f>
        <v>330</v>
      </c>
      <c r="F32" s="110">
        <f>E32*(1+F33)</f>
        <v>330</v>
      </c>
      <c r="G32" s="110">
        <f>F32*(1+G33)</f>
        <v>330</v>
      </c>
      <c r="H32" s="111">
        <f>D32*(1+H33)</f>
        <v>390</v>
      </c>
      <c r="I32" s="193" t="s">
        <v>270</v>
      </c>
    </row>
    <row r="33" spans="2:11" ht="12.75">
      <c r="B33" s="140" t="s">
        <v>234</v>
      </c>
      <c r="C33" s="141"/>
      <c r="D33" s="142"/>
      <c r="E33" s="142">
        <v>0.1</v>
      </c>
      <c r="F33" s="142"/>
      <c r="G33" s="142"/>
      <c r="H33" s="143">
        <v>0.3</v>
      </c>
      <c r="I33" s="193" t="s">
        <v>270</v>
      </c>
    </row>
    <row r="34" spans="2:11" ht="12.75">
      <c r="B34" s="140" t="s">
        <v>235</v>
      </c>
      <c r="C34" s="141"/>
      <c r="D34" s="142">
        <v>0</v>
      </c>
      <c r="E34" s="142">
        <v>0.1</v>
      </c>
      <c r="F34" s="142">
        <v>0.1</v>
      </c>
      <c r="G34" s="142">
        <v>0.1</v>
      </c>
      <c r="H34" s="143">
        <v>0.1</v>
      </c>
      <c r="I34" s="193" t="s">
        <v>270</v>
      </c>
    </row>
    <row r="35" spans="2:11" ht="12.75">
      <c r="B35" s="140" t="s">
        <v>220</v>
      </c>
      <c r="C35" s="141"/>
      <c r="D35" s="141">
        <f>E12*1.5</f>
        <v>52500</v>
      </c>
      <c r="E35" s="141">
        <f>$D$35*((1.1)^(E39-1))</f>
        <v>57750.000000000007</v>
      </c>
      <c r="F35" s="141">
        <f>$D$35*((1.1)^(F39-1))</f>
        <v>63525.000000000007</v>
      </c>
      <c r="G35" s="141">
        <f>$D$35*((1.1)^(G39-1))</f>
        <v>69877.500000000015</v>
      </c>
      <c r="H35" s="144">
        <f>$D$35*((1.1)^(H39-1))</f>
        <v>76865.250000000015</v>
      </c>
      <c r="I35" s="193" t="s">
        <v>270</v>
      </c>
      <c r="J35" s="186" t="s">
        <v>278</v>
      </c>
      <c r="K35" s="186" t="s">
        <v>279</v>
      </c>
    </row>
    <row r="36" spans="2:11" ht="12.75">
      <c r="B36" s="145" t="s">
        <v>236</v>
      </c>
      <c r="C36" s="146">
        <f>B29</f>
        <v>-337000</v>
      </c>
      <c r="D36" s="147">
        <f>C36*E37</f>
        <v>-33700.000000000029</v>
      </c>
      <c r="E36" s="147">
        <f>D38*F37</f>
        <v>0</v>
      </c>
      <c r="F36" s="147">
        <f>E38*G37</f>
        <v>0</v>
      </c>
      <c r="G36" s="147">
        <f>F38*H37</f>
        <v>-67400.000000000029</v>
      </c>
      <c r="H36" s="148">
        <f>G38*I38</f>
        <v>0</v>
      </c>
      <c r="K36" s="186" t="s">
        <v>280</v>
      </c>
    </row>
    <row r="37" spans="2:11" ht="12.75">
      <c r="B37" s="145" t="s">
        <v>237</v>
      </c>
      <c r="C37" s="147"/>
      <c r="D37" s="149">
        <v>0</v>
      </c>
      <c r="E37" s="149">
        <f>(E32/D32)-1</f>
        <v>0.10000000000000009</v>
      </c>
      <c r="F37" s="149">
        <f>(F32/E32)-1</f>
        <v>0</v>
      </c>
      <c r="G37" s="149">
        <f>(G32/F32)-1</f>
        <v>0</v>
      </c>
      <c r="H37" s="150">
        <f>(H32/G32)-1</f>
        <v>0.18181818181818188</v>
      </c>
      <c r="I37" s="193" t="s">
        <v>270</v>
      </c>
    </row>
    <row r="38" spans="2:11" ht="12.75">
      <c r="B38" s="151" t="s">
        <v>238</v>
      </c>
      <c r="C38" s="152"/>
      <c r="D38" s="152">
        <f>C36</f>
        <v>-337000</v>
      </c>
      <c r="E38" s="152">
        <f>D38+D36</f>
        <v>-370700</v>
      </c>
      <c r="F38" s="152">
        <f>E38+E36</f>
        <v>-370700</v>
      </c>
      <c r="G38" s="152">
        <f>F38+F36</f>
        <v>-370700</v>
      </c>
      <c r="H38" s="153">
        <f>G38+G36</f>
        <v>-438100</v>
      </c>
    </row>
    <row r="39" spans="2:11" ht="12.75">
      <c r="B39" s="154" t="s">
        <v>27</v>
      </c>
      <c r="C39" s="155">
        <v>0</v>
      </c>
      <c r="D39" s="155">
        <v>1</v>
      </c>
      <c r="E39" s="155">
        <v>2</v>
      </c>
      <c r="F39" s="155">
        <v>3</v>
      </c>
      <c r="G39" s="155">
        <v>4</v>
      </c>
      <c r="H39" s="156">
        <v>5</v>
      </c>
    </row>
    <row r="40" spans="2:11" ht="12.75">
      <c r="B40" s="157" t="s">
        <v>118</v>
      </c>
      <c r="C40" s="158"/>
      <c r="D40" s="158"/>
      <c r="E40" s="158"/>
      <c r="F40" s="158"/>
      <c r="G40" s="158"/>
      <c r="H40" s="159"/>
    </row>
    <row r="41" spans="2:11" ht="12.75">
      <c r="B41" s="102" t="s">
        <v>119</v>
      </c>
      <c r="C41" s="103"/>
      <c r="D41" s="103">
        <v>0</v>
      </c>
      <c r="E41" s="103">
        <v>0</v>
      </c>
      <c r="F41" s="103">
        <v>0</v>
      </c>
      <c r="G41" s="103">
        <v>0</v>
      </c>
      <c r="H41" s="104">
        <v>0</v>
      </c>
    </row>
    <row r="42" spans="2:11" ht="12.75">
      <c r="B42" s="47" t="s">
        <v>178</v>
      </c>
      <c r="C42" s="26"/>
      <c r="D42" s="26">
        <v>0</v>
      </c>
      <c r="E42" s="26">
        <v>0</v>
      </c>
      <c r="F42" s="26">
        <v>0</v>
      </c>
      <c r="G42" s="26">
        <v>0</v>
      </c>
      <c r="H42" s="59">
        <v>0</v>
      </c>
    </row>
    <row r="43" spans="2:11" ht="12.75">
      <c r="B43" s="47" t="s">
        <v>184</v>
      </c>
      <c r="C43" s="26"/>
      <c r="D43" s="26">
        <f>D35*D32</f>
        <v>15750000</v>
      </c>
      <c r="E43" s="26">
        <f>E35*E32</f>
        <v>19057500.000000004</v>
      </c>
      <c r="F43" s="26">
        <f>F35*F32</f>
        <v>20963250.000000004</v>
      </c>
      <c r="G43" s="26">
        <f>G35*G32</f>
        <v>23059575.000000004</v>
      </c>
      <c r="H43" s="59">
        <f>H35*H32</f>
        <v>29977447.500000007</v>
      </c>
      <c r="I43" s="193" t="s">
        <v>283</v>
      </c>
    </row>
    <row r="44" spans="2:11" ht="12.75">
      <c r="B44" s="117" t="s">
        <v>120</v>
      </c>
      <c r="C44" s="118"/>
      <c r="D44" s="118">
        <v>0</v>
      </c>
      <c r="E44" s="118">
        <v>0</v>
      </c>
      <c r="F44" s="118">
        <v>0</v>
      </c>
      <c r="G44" s="118">
        <v>0</v>
      </c>
      <c r="H44" s="160">
        <v>0</v>
      </c>
    </row>
    <row r="45" spans="2:11" ht="12.75">
      <c r="B45" s="157" t="s">
        <v>121</v>
      </c>
      <c r="C45" s="158"/>
      <c r="D45" s="158"/>
      <c r="E45" s="158"/>
      <c r="F45" s="158"/>
      <c r="G45" s="158"/>
      <c r="H45" s="159"/>
    </row>
    <row r="46" spans="2:11" ht="12.75">
      <c r="B46" s="102" t="s">
        <v>239</v>
      </c>
      <c r="C46" s="103">
        <v>75000</v>
      </c>
      <c r="D46" s="161">
        <f>-$C$46*1.55*13</f>
        <v>-1511250</v>
      </c>
      <c r="E46" s="161">
        <f>-$C$46*1.55*13</f>
        <v>-1511250</v>
      </c>
      <c r="F46" s="161">
        <f>-$C$46*1.55*13</f>
        <v>-1511250</v>
      </c>
      <c r="G46" s="161">
        <f>-$C$46*1.55*13</f>
        <v>-1511250</v>
      </c>
      <c r="H46" s="120">
        <f>-$C$46*1.55*13</f>
        <v>-1511250</v>
      </c>
      <c r="I46" s="193" t="s">
        <v>270</v>
      </c>
      <c r="J46" s="186" t="s">
        <v>276</v>
      </c>
    </row>
    <row r="47" spans="2:11" ht="12.75">
      <c r="B47" s="47" t="s">
        <v>240</v>
      </c>
      <c r="C47" s="26">
        <v>40000</v>
      </c>
      <c r="D47" s="105">
        <f>-$C$47*1.55*2*13</f>
        <v>-1612000</v>
      </c>
      <c r="E47" s="105">
        <f>-$C$47*1.55*2*13</f>
        <v>-1612000</v>
      </c>
      <c r="F47" s="105">
        <f>-$C$47*1.55*2*13</f>
        <v>-1612000</v>
      </c>
      <c r="G47" s="105">
        <f>-$C$47*1.55*2*13</f>
        <v>-1612000</v>
      </c>
      <c r="H47" s="121">
        <f>-$C$47*1.55*2*13</f>
        <v>-1612000</v>
      </c>
      <c r="I47" s="193" t="s">
        <v>270</v>
      </c>
      <c r="J47" s="186" t="s">
        <v>277</v>
      </c>
    </row>
    <row r="48" spans="2:11" ht="12.75">
      <c r="B48" s="47" t="s">
        <v>122</v>
      </c>
      <c r="C48" s="26"/>
      <c r="D48" s="105">
        <f>-F4</f>
        <v>-144853.30618344495</v>
      </c>
      <c r="E48" s="105">
        <f>-F5</f>
        <v>-109979.27137979939</v>
      </c>
      <c r="F48" s="105">
        <f>-F6</f>
        <v>-63077.571716000057</v>
      </c>
      <c r="G48" s="105">
        <f>-F7</f>
        <v>0</v>
      </c>
      <c r="H48" s="121">
        <v>0</v>
      </c>
      <c r="I48" s="207" t="s">
        <v>284</v>
      </c>
      <c r="J48" s="186" t="s">
        <v>286</v>
      </c>
    </row>
    <row r="49" spans="2:15" ht="12.75">
      <c r="B49" s="47" t="s">
        <v>241</v>
      </c>
      <c r="C49" s="134">
        <v>0.1</v>
      </c>
      <c r="D49" s="105">
        <f>-D43*$C$49</f>
        <v>-1575000</v>
      </c>
      <c r="E49" s="105">
        <f>-E43*$C$49</f>
        <v>-1905750.0000000005</v>
      </c>
      <c r="F49" s="105">
        <f>-F43*$C$49</f>
        <v>-2096325.0000000005</v>
      </c>
      <c r="G49" s="105">
        <f>-G43*$C$49</f>
        <v>-2305957.5000000005</v>
      </c>
      <c r="H49" s="121">
        <f>-H43*$C$49</f>
        <v>-2997744.7500000009</v>
      </c>
      <c r="I49" s="193" t="s">
        <v>270</v>
      </c>
      <c r="J49" s="186" t="s">
        <v>287</v>
      </c>
    </row>
    <row r="50" spans="2:15" ht="12.75">
      <c r="B50" s="47" t="s">
        <v>223</v>
      </c>
      <c r="C50" s="26">
        <v>-3000</v>
      </c>
      <c r="D50" s="105">
        <f>$C$50*12</f>
        <v>-36000</v>
      </c>
      <c r="E50" s="105">
        <f>$C$50*12</f>
        <v>-36000</v>
      </c>
      <c r="F50" s="105">
        <f>$C$50*12</f>
        <v>-36000</v>
      </c>
      <c r="G50" s="105">
        <f>$C$50*12</f>
        <v>-36000</v>
      </c>
      <c r="H50" s="121">
        <f>$C$50*12</f>
        <v>-36000</v>
      </c>
      <c r="I50" s="193" t="s">
        <v>270</v>
      </c>
    </row>
    <row r="51" spans="2:15" ht="12.75">
      <c r="B51" s="47" t="s">
        <v>123</v>
      </c>
      <c r="C51" s="26"/>
      <c r="D51" s="26">
        <f>-$B$14/(1+D34)</f>
        <v>-1500000</v>
      </c>
      <c r="E51" s="26">
        <f>-$B$14/(1+E34)</f>
        <v>-1363636.3636363635</v>
      </c>
      <c r="F51" s="26">
        <f>-$B$14/(1+F34)</f>
        <v>-1363636.3636363635</v>
      </c>
      <c r="G51" s="26">
        <f>-$B$14/(1+G34)</f>
        <v>-1363636.3636363635</v>
      </c>
      <c r="H51" s="59">
        <f>-$B$14/(1+H34)</f>
        <v>-1363636.3636363635</v>
      </c>
      <c r="I51" s="193" t="s">
        <v>270</v>
      </c>
      <c r="J51" s="186" t="s">
        <v>273</v>
      </c>
    </row>
    <row r="52" spans="2:15" ht="12.75">
      <c r="B52" s="117" t="s">
        <v>124</v>
      </c>
      <c r="C52" s="118"/>
      <c r="D52" s="118">
        <f>-D32*$B$12</f>
        <v>-9000000</v>
      </c>
      <c r="E52" s="118">
        <f>-E32*$B$12</f>
        <v>-9900000</v>
      </c>
      <c r="F52" s="118">
        <f>-F32*$B$12</f>
        <v>-9900000</v>
      </c>
      <c r="G52" s="118">
        <f>-G32*$B$12</f>
        <v>-9900000</v>
      </c>
      <c r="H52" s="160">
        <f>-H32*$B$12</f>
        <v>-11700000</v>
      </c>
      <c r="I52" s="193" t="s">
        <v>274</v>
      </c>
      <c r="J52" s="186" t="s">
        <v>275</v>
      </c>
    </row>
    <row r="53" spans="2:15" ht="13.5" thickBot="1">
      <c r="B53" s="157" t="s">
        <v>125</v>
      </c>
      <c r="C53" s="158"/>
      <c r="D53" s="158"/>
      <c r="E53" s="158"/>
      <c r="F53" s="158"/>
      <c r="G53" s="158"/>
      <c r="H53" s="159"/>
    </row>
    <row r="54" spans="2:15" ht="18.75" customHeight="1">
      <c r="B54" s="102" t="s">
        <v>242</v>
      </c>
      <c r="C54" s="162">
        <v>5</v>
      </c>
      <c r="D54" s="103">
        <f>$C$64/$C$54</f>
        <v>-360000</v>
      </c>
      <c r="E54" s="103">
        <f>$C$64/$C$54</f>
        <v>-360000</v>
      </c>
      <c r="F54" s="103">
        <f>$C$64/$C$54</f>
        <v>-360000</v>
      </c>
      <c r="G54" s="103">
        <f>$C$64/$C$54</f>
        <v>-360000</v>
      </c>
      <c r="H54" s="104">
        <f>$C$64/$C$54</f>
        <v>-360000</v>
      </c>
      <c r="I54" s="1627" t="s">
        <v>282</v>
      </c>
      <c r="J54" s="1628"/>
      <c r="K54" s="1628"/>
      <c r="L54" s="1628"/>
      <c r="M54" s="1628"/>
      <c r="N54" s="1628"/>
      <c r="O54" s="1628"/>
    </row>
    <row r="55" spans="2:15" ht="12.75">
      <c r="B55" s="47" t="s">
        <v>243</v>
      </c>
      <c r="C55" s="162">
        <v>10</v>
      </c>
      <c r="D55" s="26">
        <f>($C$65+$C$64)/$C$55</f>
        <v>-285000</v>
      </c>
      <c r="E55" s="26">
        <f>($C$65+$C$64)/$C$55</f>
        <v>-285000</v>
      </c>
      <c r="F55" s="26">
        <f>($C$65+$C$64)/$C$55</f>
        <v>-285000</v>
      </c>
      <c r="G55" s="26">
        <f>($C$65+$C$64)/$C$55</f>
        <v>-285000</v>
      </c>
      <c r="H55" s="59">
        <f>($C$65+$C$64)/$C$55</f>
        <v>-285000</v>
      </c>
      <c r="I55" s="1627"/>
      <c r="J55" s="1628"/>
      <c r="K55" s="1628"/>
      <c r="L55" s="1628"/>
      <c r="M55" s="1628"/>
      <c r="N55" s="1628"/>
      <c r="O55" s="1628"/>
    </row>
    <row r="56" spans="2:15" ht="12.75">
      <c r="B56" s="47" t="s">
        <v>244</v>
      </c>
      <c r="C56" s="26"/>
      <c r="D56" s="26">
        <v>0</v>
      </c>
      <c r="E56" s="26">
        <v>0</v>
      </c>
      <c r="F56" s="26">
        <v>0</v>
      </c>
      <c r="G56" s="26">
        <v>0</v>
      </c>
      <c r="H56" s="59">
        <f>H55*5</f>
        <v>-1425000</v>
      </c>
      <c r="I56" s="1627"/>
      <c r="J56" s="1628"/>
      <c r="K56" s="1628"/>
      <c r="L56" s="1628"/>
      <c r="M56" s="1628"/>
      <c r="N56" s="1628"/>
      <c r="O56" s="1628"/>
    </row>
    <row r="57" spans="2:15" ht="13.5" thickBot="1">
      <c r="B57" s="117" t="s">
        <v>70</v>
      </c>
      <c r="C57" s="118"/>
      <c r="D57" s="118">
        <v>0</v>
      </c>
      <c r="E57" s="118">
        <v>0</v>
      </c>
      <c r="F57" s="118">
        <v>0</v>
      </c>
      <c r="G57" s="118">
        <v>0</v>
      </c>
      <c r="H57" s="160">
        <v>0</v>
      </c>
    </row>
    <row r="58" spans="2:15" ht="14.25">
      <c r="B58" s="163" t="s">
        <v>130</v>
      </c>
      <c r="C58" s="164"/>
      <c r="D58" s="164">
        <f>SUM(D40:D57)</f>
        <v>-274103.30618344434</v>
      </c>
      <c r="E58" s="164">
        <f>SUM(E40:E57)</f>
        <v>1973884.3649838418</v>
      </c>
      <c r="F58" s="164">
        <f>SUM(F40:F57)</f>
        <v>3735961.064647641</v>
      </c>
      <c r="G58" s="164">
        <f>SUM(G40:G57)</f>
        <v>5685731.1363636404</v>
      </c>
      <c r="H58" s="165">
        <f>SUM(H40:H57)</f>
        <v>8686816.3863636442</v>
      </c>
    </row>
    <row r="59" spans="2:15" ht="12.75">
      <c r="B59" s="166" t="s">
        <v>159</v>
      </c>
      <c r="C59" s="167">
        <v>0.1</v>
      </c>
      <c r="D59" s="168">
        <f>-D58*$C$59</f>
        <v>27410.330618344437</v>
      </c>
      <c r="E59" s="168">
        <f>-E58*$C$59</f>
        <v>-197388.4364983842</v>
      </c>
      <c r="F59" s="168">
        <f>-F58*$C$59</f>
        <v>-373596.1064647641</v>
      </c>
      <c r="G59" s="168">
        <f>-G58*$C$59</f>
        <v>-568573.11363636411</v>
      </c>
      <c r="H59" s="169">
        <f>-H58*$C$59</f>
        <v>-868681.63863636449</v>
      </c>
    </row>
    <row r="60" spans="2:15" ht="28.5">
      <c r="B60" s="170" t="s">
        <v>132</v>
      </c>
      <c r="C60" s="171"/>
      <c r="D60" s="171">
        <f>SUM(D58:D59)</f>
        <v>-246692.97556509991</v>
      </c>
      <c r="E60" s="171">
        <f>SUM(E58:E59)</f>
        <v>1776495.9284854576</v>
      </c>
      <c r="F60" s="171">
        <f>SUM(F58:F59)</f>
        <v>3362364.9581828769</v>
      </c>
      <c r="G60" s="171">
        <f>SUM(G58:G59)</f>
        <v>5117158.0227272762</v>
      </c>
      <c r="H60" s="172">
        <f>SUM(H58:H59)</f>
        <v>7818134.7477272796</v>
      </c>
    </row>
    <row r="61" spans="2:15" ht="12.75">
      <c r="B61" s="173" t="s">
        <v>245</v>
      </c>
      <c r="C61" s="103"/>
      <c r="D61" s="104">
        <f>-SUM(D54:D57)</f>
        <v>645000</v>
      </c>
      <c r="E61" s="104">
        <f>-SUM(E54:E57)</f>
        <v>645000</v>
      </c>
      <c r="F61" s="104">
        <f>-SUM(F54:F57)</f>
        <v>645000</v>
      </c>
      <c r="G61" s="104">
        <f>-SUM(G54:G57)</f>
        <v>645000</v>
      </c>
      <c r="H61" s="104">
        <f>-SUM(H54:H57)</f>
        <v>2070000</v>
      </c>
      <c r="I61" s="193" t="s">
        <v>270</v>
      </c>
    </row>
    <row r="62" spans="2:15" ht="12.75">
      <c r="B62" s="47" t="s">
        <v>134</v>
      </c>
      <c r="C62" s="26"/>
      <c r="D62" s="105">
        <f>-G4</f>
        <v>-101116.74357630318</v>
      </c>
      <c r="E62" s="105">
        <f>-G5</f>
        <v>-135990.77837994875</v>
      </c>
      <c r="F62" s="105">
        <f>-G6</f>
        <v>-182892.47804374807</v>
      </c>
      <c r="G62" s="105">
        <f>-G7</f>
        <v>0</v>
      </c>
      <c r="H62" s="121">
        <f>-G8</f>
        <v>0</v>
      </c>
      <c r="I62" s="207" t="s">
        <v>285</v>
      </c>
      <c r="J62" s="186" t="s">
        <v>286</v>
      </c>
    </row>
    <row r="63" spans="2:15" ht="12.75">
      <c r="B63" s="47" t="s">
        <v>135</v>
      </c>
      <c r="C63" s="26">
        <f>-C65*0.4</f>
        <v>420000</v>
      </c>
      <c r="D63" s="26"/>
      <c r="E63" s="26"/>
      <c r="F63" s="26"/>
      <c r="G63" s="26"/>
      <c r="H63" s="59"/>
      <c r="I63" s="193" t="s">
        <v>270</v>
      </c>
    </row>
    <row r="64" spans="2:15" ht="12.75">
      <c r="B64" s="47" t="s">
        <v>246</v>
      </c>
      <c r="C64" s="26">
        <f>-B20</f>
        <v>-1800000</v>
      </c>
      <c r="D64" s="26"/>
      <c r="E64" s="26"/>
      <c r="F64" s="26"/>
      <c r="G64" s="26"/>
      <c r="H64" s="59"/>
      <c r="I64" s="193" t="s">
        <v>270</v>
      </c>
      <c r="J64" s="186" t="s">
        <v>271</v>
      </c>
    </row>
    <row r="65" spans="2:10" ht="12.75">
      <c r="B65" s="47" t="s">
        <v>247</v>
      </c>
      <c r="C65" s="26">
        <f>-1000000*1.05</f>
        <v>-1050000</v>
      </c>
      <c r="D65" s="26"/>
      <c r="E65" s="26"/>
      <c r="F65" s="26"/>
      <c r="G65" s="26"/>
      <c r="H65" s="59"/>
      <c r="I65" s="193" t="s">
        <v>270</v>
      </c>
      <c r="J65" s="193" t="s">
        <v>272</v>
      </c>
    </row>
    <row r="66" spans="2:10" ht="12.75">
      <c r="B66" s="117" t="s">
        <v>236</v>
      </c>
      <c r="C66" s="118">
        <f t="shared" ref="C66:H66" si="0">C36</f>
        <v>-337000</v>
      </c>
      <c r="D66" s="118">
        <f t="shared" si="0"/>
        <v>-33700.000000000029</v>
      </c>
      <c r="E66" s="118">
        <f t="shared" si="0"/>
        <v>0</v>
      </c>
      <c r="F66" s="118">
        <f t="shared" si="0"/>
        <v>0</v>
      </c>
      <c r="G66" s="118">
        <f t="shared" si="0"/>
        <v>-67400.000000000029</v>
      </c>
      <c r="H66" s="160">
        <f t="shared" si="0"/>
        <v>0</v>
      </c>
      <c r="I66" s="193" t="s">
        <v>270</v>
      </c>
    </row>
    <row r="67" spans="2:10" ht="12.75">
      <c r="B67" s="117" t="s">
        <v>248</v>
      </c>
      <c r="C67" s="118"/>
      <c r="D67" s="118"/>
      <c r="E67" s="118"/>
      <c r="F67" s="118"/>
      <c r="G67" s="118"/>
      <c r="H67" s="160">
        <f>-SUM(C66:G66)</f>
        <v>438100</v>
      </c>
      <c r="I67" s="193" t="s">
        <v>270</v>
      </c>
    </row>
    <row r="68" spans="2:10" ht="14.25">
      <c r="B68" s="174" t="s">
        <v>139</v>
      </c>
      <c r="C68" s="171">
        <f t="shared" ref="C68:H68" si="1">SUM(C60:C67)</f>
        <v>-2767000</v>
      </c>
      <c r="D68" s="171">
        <f t="shared" si="1"/>
        <v>263490.2808585969</v>
      </c>
      <c r="E68" s="171">
        <f t="shared" si="1"/>
        <v>2285505.150105509</v>
      </c>
      <c r="F68" s="171">
        <f t="shared" si="1"/>
        <v>3824472.4801391289</v>
      </c>
      <c r="G68" s="171">
        <f t="shared" si="1"/>
        <v>5694758.0227272762</v>
      </c>
      <c r="H68" s="172">
        <f t="shared" si="1"/>
        <v>10326234.747727279</v>
      </c>
    </row>
    <row r="69" spans="2:10" ht="12.75">
      <c r="F69" s="71" t="s">
        <v>29</v>
      </c>
      <c r="G69" s="96">
        <f>E14</f>
        <v>0.06</v>
      </c>
      <c r="H69" s="97">
        <f t="array" ref="H69">C68+NPV(G69,D68:H68)</f>
        <v>14953913.079287183</v>
      </c>
    </row>
    <row r="70" spans="2:10" ht="15.75" customHeight="1">
      <c r="G70" s="186" t="s">
        <v>140</v>
      </c>
    </row>
    <row r="72" spans="2:10" ht="15.75" customHeight="1">
      <c r="H72" s="208">
        <f>IRR(C68:H68)</f>
        <v>0.76522955476073395</v>
      </c>
    </row>
    <row r="80" spans="2:10" ht="15.75" customHeight="1">
      <c r="G80">
        <v>600000</v>
      </c>
    </row>
  </sheetData>
  <mergeCells count="9">
    <mergeCell ref="C2:C4"/>
    <mergeCell ref="I54:O56"/>
    <mergeCell ref="D1:H1"/>
    <mergeCell ref="A7:B7"/>
    <mergeCell ref="A16:B16"/>
    <mergeCell ref="A22:B22"/>
    <mergeCell ref="D25:G25"/>
    <mergeCell ref="J15:M15"/>
    <mergeCell ref="J19:M19"/>
  </mergeCells>
  <pageMargins left="0.7" right="0.7" top="0.75" bottom="0.75" header="0.3" footer="0.3"/>
  <pageSetup orientation="portrait" horizontalDpi="0"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5"/>
  <sheetViews>
    <sheetView workbookViewId="0">
      <selection activeCell="B8" sqref="B8"/>
    </sheetView>
  </sheetViews>
  <sheetFormatPr defaultColWidth="14.42578125" defaultRowHeight="15.75" customHeight="1"/>
  <cols>
    <col min="1" max="1" width="11" customWidth="1"/>
    <col min="2" max="2" width="34.42578125" customWidth="1"/>
    <col min="3" max="3" width="21.28515625" customWidth="1"/>
  </cols>
  <sheetData>
    <row r="1" spans="1:26">
      <c r="A1" s="1" t="s">
        <v>0</v>
      </c>
      <c r="B1" s="2" t="s">
        <v>1</v>
      </c>
      <c r="C1" s="2" t="s">
        <v>2</v>
      </c>
      <c r="D1" s="1" t="s">
        <v>3</v>
      </c>
      <c r="E1" s="2"/>
      <c r="F1" s="2"/>
      <c r="G1" s="2"/>
      <c r="H1" s="2"/>
      <c r="I1" s="2"/>
      <c r="J1" s="2"/>
      <c r="K1" s="2"/>
      <c r="L1" s="2"/>
      <c r="M1" s="2"/>
      <c r="N1" s="2"/>
      <c r="O1" s="2"/>
      <c r="P1" s="2"/>
      <c r="Q1" s="2"/>
      <c r="R1" s="2"/>
      <c r="S1" s="2"/>
      <c r="T1" s="2"/>
      <c r="U1" s="2"/>
      <c r="V1" s="2"/>
      <c r="W1" s="2"/>
      <c r="X1" s="2"/>
      <c r="Y1" s="2"/>
      <c r="Z1" s="2"/>
    </row>
    <row r="2" spans="1:26">
      <c r="A2" s="3">
        <v>0.25</v>
      </c>
      <c r="B2" s="4">
        <v>1</v>
      </c>
      <c r="C2" s="4">
        <v>1</v>
      </c>
      <c r="D2" s="3">
        <f>((1+(A2/B2))^C2)-1</f>
        <v>0.25</v>
      </c>
    </row>
    <row r="3" spans="1:26">
      <c r="A3" s="3">
        <v>0.24</v>
      </c>
      <c r="B3" s="4">
        <v>12</v>
      </c>
      <c r="C3" s="4">
        <v>12</v>
      </c>
      <c r="D3" s="1">
        <f>((1+(A3/B3))^C3)-1</f>
        <v>0.26824179456254527</v>
      </c>
    </row>
    <row r="5" spans="1:26">
      <c r="A5" s="4" t="s">
        <v>10</v>
      </c>
      <c r="B5" s="4" t="s">
        <v>11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36F05-864F-4227-8C5C-A939BB14CADF}">
  <dimension ref="A1:J11"/>
  <sheetViews>
    <sheetView workbookViewId="0">
      <selection activeCell="E1" sqref="E1"/>
    </sheetView>
  </sheetViews>
  <sheetFormatPr defaultRowHeight="12.75"/>
  <cols>
    <col min="4" max="4" width="14.5703125" bestFit="1" customWidth="1"/>
    <col min="5" max="5" width="12.28515625" bestFit="1" customWidth="1"/>
    <col min="6" max="6" width="12.5703125" customWidth="1"/>
    <col min="8" max="8" width="12.28515625" bestFit="1" customWidth="1"/>
  </cols>
  <sheetData>
    <row r="1" spans="1:10">
      <c r="A1" t="s">
        <v>317</v>
      </c>
      <c r="E1" s="257" t="s">
        <v>327</v>
      </c>
    </row>
    <row r="2" spans="1:10">
      <c r="A2">
        <v>30</v>
      </c>
    </row>
    <row r="3" spans="1:10">
      <c r="D3" t="s">
        <v>320</v>
      </c>
    </row>
    <row r="4" spans="1:10">
      <c r="A4" t="s">
        <v>318</v>
      </c>
      <c r="D4">
        <f>((1+0.3/12)^12)-1</f>
        <v>0.34488882424629752</v>
      </c>
      <c r="F4" t="s">
        <v>321</v>
      </c>
    </row>
    <row r="5" spans="1:10">
      <c r="A5" t="s">
        <v>319</v>
      </c>
    </row>
    <row r="7" spans="1:10">
      <c r="D7" t="s">
        <v>322</v>
      </c>
      <c r="E7" t="s">
        <v>294</v>
      </c>
      <c r="F7" t="s">
        <v>38</v>
      </c>
      <c r="H7" s="254">
        <v>420000</v>
      </c>
    </row>
    <row r="8" spans="1:10">
      <c r="D8" s="255">
        <f>(H7*D4)/(1-(1+D4)^-3)</f>
        <v>245970.04975974813</v>
      </c>
      <c r="E8" s="254">
        <f>H7*D4</f>
        <v>144853.30618344495</v>
      </c>
      <c r="F8" s="255">
        <f>D8-E8</f>
        <v>101116.74357630318</v>
      </c>
      <c r="H8" s="255">
        <f>H7-F8</f>
        <v>318883.25642369682</v>
      </c>
      <c r="J8" t="s">
        <v>323</v>
      </c>
    </row>
    <row r="9" spans="1:10">
      <c r="D9" s="255">
        <f>(H7*D4)/(1-(1+D4)^-3)</f>
        <v>245970.04975974813</v>
      </c>
      <c r="E9" s="255">
        <f>H8*D4</f>
        <v>109979.27137979939</v>
      </c>
      <c r="F9" s="255">
        <f>D9-E9</f>
        <v>135990.77837994875</v>
      </c>
      <c r="H9" s="255">
        <f>H8-F9</f>
        <v>182892.47804374807</v>
      </c>
      <c r="J9" t="s">
        <v>324</v>
      </c>
    </row>
    <row r="10" spans="1:10">
      <c r="D10" s="255">
        <f>(H7*D4)/(1-(1+D4)^-3)</f>
        <v>245970.04975974813</v>
      </c>
      <c r="E10" s="255">
        <f>H9*D4</f>
        <v>63077.571716000057</v>
      </c>
      <c r="F10" s="255">
        <f>D10-E10</f>
        <v>182892.47804374807</v>
      </c>
      <c r="H10" s="255">
        <f>H9-F10</f>
        <v>0</v>
      </c>
    </row>
    <row r="11" spans="1:10">
      <c r="J11" t="s">
        <v>325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M63"/>
  <sheetViews>
    <sheetView topLeftCell="A22" workbookViewId="0">
      <selection activeCell="H41" sqref="H41"/>
    </sheetView>
  </sheetViews>
  <sheetFormatPr defaultColWidth="14.42578125" defaultRowHeight="15.75" customHeight="1"/>
  <cols>
    <col min="1" max="1" width="27.5703125" customWidth="1"/>
    <col min="2" max="2" width="33.28515625" customWidth="1"/>
    <col min="3" max="9" width="15.85546875" bestFit="1" customWidth="1"/>
    <col min="10" max="10" width="25.28515625" customWidth="1"/>
    <col min="11" max="13" width="15.85546875" bestFit="1" customWidth="1"/>
  </cols>
  <sheetData>
    <row r="1" spans="1:8" ht="12.75">
      <c r="A1" s="73" t="s">
        <v>0</v>
      </c>
      <c r="B1" s="74">
        <v>0.02</v>
      </c>
      <c r="D1" s="1620" t="s">
        <v>103</v>
      </c>
      <c r="E1" s="1621"/>
      <c r="F1" s="1621"/>
      <c r="G1" s="1621"/>
      <c r="H1" s="1622"/>
    </row>
    <row r="2" spans="1:8" ht="12.75">
      <c r="A2" s="75" t="s">
        <v>104</v>
      </c>
      <c r="B2" s="76">
        <v>12</v>
      </c>
      <c r="D2" s="99" t="s">
        <v>105</v>
      </c>
      <c r="E2" s="100" t="s">
        <v>106</v>
      </c>
      <c r="F2" s="100" t="s">
        <v>102</v>
      </c>
      <c r="G2" s="100" t="s">
        <v>53</v>
      </c>
      <c r="H2" s="101" t="s">
        <v>107</v>
      </c>
    </row>
    <row r="3" spans="1:8" ht="12.75">
      <c r="A3" s="75"/>
      <c r="B3" s="76">
        <v>12</v>
      </c>
      <c r="D3" s="102">
        <v>0</v>
      </c>
      <c r="E3" s="103"/>
      <c r="F3" s="103"/>
      <c r="G3" s="103"/>
      <c r="H3" s="120">
        <f>C59</f>
        <v>0</v>
      </c>
    </row>
    <row r="4" spans="1:8" ht="12.75">
      <c r="A4" s="75" t="s">
        <v>3</v>
      </c>
      <c r="B4" s="77">
        <f>((1+B1/B2)^B3)-1</f>
        <v>2.0184355681502009E-2</v>
      </c>
      <c r="D4" s="47">
        <v>1</v>
      </c>
      <c r="E4" s="105">
        <f>$H$3*($B$4/((1-(1+$B$4)^-$B$5)))</f>
        <v>0</v>
      </c>
      <c r="F4" s="105">
        <f>H3*$B$4</f>
        <v>0</v>
      </c>
      <c r="G4" s="105">
        <f>E4-F4</f>
        <v>0</v>
      </c>
      <c r="H4" s="121">
        <f>H3-G4</f>
        <v>0</v>
      </c>
    </row>
    <row r="5" spans="1:8" ht="12.75">
      <c r="A5" s="78" t="s">
        <v>104</v>
      </c>
      <c r="B5" s="79">
        <v>3</v>
      </c>
      <c r="D5" s="47">
        <v>2</v>
      </c>
      <c r="E5" s="105">
        <f>$H$3*($B$4/((1-(1+$B$4)^-$B$5)))</f>
        <v>0</v>
      </c>
      <c r="F5" s="105">
        <f>H4*$B$4</f>
        <v>0</v>
      </c>
      <c r="G5" s="105">
        <f>E5-F5</f>
        <v>0</v>
      </c>
      <c r="H5" s="121">
        <f>H4-G5</f>
        <v>0</v>
      </c>
    </row>
    <row r="6" spans="1:8" ht="12.75">
      <c r="D6" s="50">
        <v>3</v>
      </c>
      <c r="E6" s="122">
        <f>$H$3*($B$4/((1-(1+$B$4)^-$B$5)))</f>
        <v>0</v>
      </c>
      <c r="F6" s="122">
        <f>H5*$B$4</f>
        <v>0</v>
      </c>
      <c r="G6" s="122">
        <f>E6-F6</f>
        <v>0</v>
      </c>
      <c r="H6" s="123">
        <f>H5-G6</f>
        <v>0</v>
      </c>
    </row>
    <row r="7" spans="1:8" ht="12.75">
      <c r="A7" s="1630" t="s">
        <v>211</v>
      </c>
      <c r="B7" s="1618"/>
      <c r="D7" s="4"/>
      <c r="E7" s="5"/>
      <c r="F7" s="5"/>
      <c r="G7" s="5"/>
      <c r="H7" s="5"/>
    </row>
    <row r="8" spans="1:8" ht="12.75">
      <c r="A8" s="175" t="s">
        <v>181</v>
      </c>
      <c r="B8" s="176">
        <f>127000/156</f>
        <v>814.10256410256409</v>
      </c>
    </row>
    <row r="9" spans="1:8" ht="12.75">
      <c r="A9" s="175" t="s">
        <v>249</v>
      </c>
      <c r="B9" s="176">
        <f>7*(5000/156)/2</f>
        <v>112.17948717948718</v>
      </c>
    </row>
    <row r="10" spans="1:8" ht="12.75">
      <c r="A10" s="175" t="s">
        <v>250</v>
      </c>
      <c r="B10" s="176">
        <f>42000/158</f>
        <v>265.82278481012656</v>
      </c>
    </row>
    <row r="11" spans="1:8" ht="12.75">
      <c r="A11" s="175" t="s">
        <v>251</v>
      </c>
      <c r="B11" s="176">
        <f>7*(14000/156)</f>
        <v>628.20512820512818</v>
      </c>
      <c r="D11" s="4">
        <f>181903056/D37</f>
        <v>7434.3246689553707</v>
      </c>
      <c r="E11" s="5">
        <f>D11-B17</f>
        <v>39.914944846191247</v>
      </c>
      <c r="G11" s="209">
        <v>600000</v>
      </c>
      <c r="H11" s="209">
        <f>G11*B4</f>
        <v>12110.613408901205</v>
      </c>
    </row>
    <row r="12" spans="1:8" ht="12.75">
      <c r="A12" s="177" t="s">
        <v>252</v>
      </c>
      <c r="B12" s="59">
        <v>2280</v>
      </c>
      <c r="G12" s="209">
        <f>G11-H11</f>
        <v>587889.38659109874</v>
      </c>
    </row>
    <row r="13" spans="1:8" ht="12.75">
      <c r="A13" s="75" t="s">
        <v>253</v>
      </c>
      <c r="B13" s="59">
        <f>130*3000/156</f>
        <v>2500</v>
      </c>
    </row>
    <row r="14" spans="1:8" ht="12.75">
      <c r="A14" s="75" t="s">
        <v>254</v>
      </c>
      <c r="B14" s="59">
        <f>120*410/156</f>
        <v>315.38461538461536</v>
      </c>
    </row>
    <row r="15" spans="1:8" ht="12.75">
      <c r="A15" s="75" t="s">
        <v>255</v>
      </c>
      <c r="B15" s="59">
        <f>50452/156</f>
        <v>323.41025641025641</v>
      </c>
    </row>
    <row r="16" spans="1:8" ht="12.75">
      <c r="A16" s="75" t="s">
        <v>256</v>
      </c>
      <c r="B16" s="59">
        <f>3800000/24468</f>
        <v>155.30488801700179</v>
      </c>
    </row>
    <row r="17" spans="1:8" ht="12.75">
      <c r="A17" s="78" t="s">
        <v>176</v>
      </c>
      <c r="B17" s="123">
        <f>SUM(B8:B16)</f>
        <v>7394.4097241091795</v>
      </c>
      <c r="D17" s="124" t="s">
        <v>215</v>
      </c>
      <c r="E17" s="125">
        <f>B17+B19/24468</f>
        <v>9233.5465558894648</v>
      </c>
    </row>
    <row r="19" spans="1:8" ht="14.25">
      <c r="A19" s="124" t="s">
        <v>216</v>
      </c>
      <c r="B19" s="125">
        <v>45000000</v>
      </c>
      <c r="D19" s="40" t="s">
        <v>140</v>
      </c>
      <c r="E19" s="41">
        <f>(E21*E27)+ (E26*E28*(1-E25))</f>
        <v>0.14074643874643875</v>
      </c>
    </row>
    <row r="20" spans="1:8" ht="15.75" customHeight="1">
      <c r="D20" s="42" t="s">
        <v>141</v>
      </c>
      <c r="E20" s="43" t="s">
        <v>142</v>
      </c>
    </row>
    <row r="21" spans="1:8" ht="15.75" customHeight="1">
      <c r="A21" s="1631" t="s">
        <v>217</v>
      </c>
      <c r="B21" s="1632"/>
      <c r="D21" s="44" t="s">
        <v>143</v>
      </c>
      <c r="E21" s="45">
        <f>E22+E23*(E24-E22)</f>
        <v>0.10199999999999999</v>
      </c>
      <c r="F21" s="5"/>
    </row>
    <row r="22" spans="1:8" ht="15.75" customHeight="1">
      <c r="A22" s="47" t="s">
        <v>218</v>
      </c>
      <c r="B22" s="126">
        <v>4</v>
      </c>
      <c r="D22" s="44" t="s">
        <v>144</v>
      </c>
      <c r="E22" s="46">
        <v>0.03</v>
      </c>
    </row>
    <row r="23" spans="1:8" ht="12.75">
      <c r="A23" s="47" t="s">
        <v>219</v>
      </c>
      <c r="B23" s="126">
        <v>10</v>
      </c>
      <c r="D23" s="47" t="s">
        <v>7</v>
      </c>
      <c r="E23" s="48">
        <v>1.2</v>
      </c>
    </row>
    <row r="24" spans="1:8" ht="12.75">
      <c r="A24" s="47" t="s">
        <v>220</v>
      </c>
      <c r="B24" s="126">
        <v>45000</v>
      </c>
      <c r="D24" s="47" t="s">
        <v>146</v>
      </c>
      <c r="E24" s="49">
        <v>0.09</v>
      </c>
    </row>
    <row r="25" spans="1:8" ht="12.75">
      <c r="A25" s="127" t="s">
        <v>176</v>
      </c>
      <c r="B25" s="128">
        <f>B24*B23*B22</f>
        <v>1800000</v>
      </c>
      <c r="D25" s="47" t="s">
        <v>148</v>
      </c>
      <c r="E25" s="49">
        <v>0.15</v>
      </c>
      <c r="H25" s="4"/>
    </row>
    <row r="26" spans="1:8" ht="12.75">
      <c r="D26" s="47" t="s">
        <v>150</v>
      </c>
      <c r="E26" s="87">
        <f>(E33*E34)+(F33*F34)</f>
        <v>0.24800000000000003</v>
      </c>
      <c r="H26" s="4"/>
    </row>
    <row r="27" spans="1:8" ht="12.75">
      <c r="A27" s="1633" t="s">
        <v>217</v>
      </c>
      <c r="B27" s="1618"/>
      <c r="D27" s="47" t="s">
        <v>152</v>
      </c>
      <c r="E27" s="129">
        <f>G31/(SUM(G31:G32))</f>
        <v>0.64387464387464388</v>
      </c>
    </row>
    <row r="28" spans="1:8" ht="12.75">
      <c r="A28" s="130" t="s">
        <v>48</v>
      </c>
      <c r="B28" s="59">
        <f>11000*24468/12</f>
        <v>22429000</v>
      </c>
      <c r="D28" s="50" t="s">
        <v>154</v>
      </c>
      <c r="E28" s="131">
        <f>G32/(SUM(G31:G32))</f>
        <v>0.35612535612535612</v>
      </c>
    </row>
    <row r="29" spans="1:8" ht="12.75">
      <c r="A29" s="47" t="s">
        <v>257</v>
      </c>
      <c r="B29" s="59">
        <f>(-E17*24468)/12</f>
        <v>-18827201.427458618</v>
      </c>
    </row>
    <row r="30" spans="1:8" ht="12.75">
      <c r="A30" s="47"/>
      <c r="B30" s="59"/>
      <c r="D30" s="1634" t="s">
        <v>225</v>
      </c>
      <c r="E30" s="1617"/>
      <c r="F30" s="1617"/>
      <c r="G30" s="1618"/>
    </row>
    <row r="31" spans="1:8" ht="12.75">
      <c r="A31" s="47"/>
      <c r="B31" s="59"/>
      <c r="D31" s="132" t="s">
        <v>227</v>
      </c>
      <c r="E31" s="25">
        <v>10000</v>
      </c>
      <c r="F31" s="25">
        <v>45.2</v>
      </c>
      <c r="G31" s="133">
        <f>F31*E31</f>
        <v>452000</v>
      </c>
    </row>
    <row r="32" spans="1:8" ht="12.75">
      <c r="A32" s="47"/>
      <c r="B32" s="59"/>
      <c r="D32" s="132" t="s">
        <v>229</v>
      </c>
      <c r="E32" s="25">
        <v>100000</v>
      </c>
      <c r="F32" s="25">
        <v>150000</v>
      </c>
      <c r="G32" s="133">
        <f>F32+E32</f>
        <v>250000</v>
      </c>
    </row>
    <row r="33" spans="1:13" ht="12.75">
      <c r="A33" s="47"/>
      <c r="B33" s="126"/>
      <c r="D33" s="132" t="s">
        <v>231</v>
      </c>
      <c r="E33" s="134">
        <v>0.2</v>
      </c>
      <c r="F33" s="134">
        <v>0.28000000000000003</v>
      </c>
      <c r="G33" s="126"/>
    </row>
    <row r="34" spans="1:13" ht="12.75">
      <c r="A34" s="127" t="s">
        <v>232</v>
      </c>
      <c r="B34" s="135">
        <f>SUM(B28:B33)</f>
        <v>3601798.5725413822</v>
      </c>
      <c r="D34" s="136" t="s">
        <v>233</v>
      </c>
      <c r="E34" s="137">
        <f>E32/$G$32</f>
        <v>0.4</v>
      </c>
      <c r="F34" s="137">
        <f>F32/$G$32</f>
        <v>0.6</v>
      </c>
      <c r="G34" s="138"/>
    </row>
    <row r="37" spans="1:13" ht="12.75">
      <c r="B37" s="109" t="s">
        <v>177</v>
      </c>
      <c r="C37" s="139"/>
      <c r="D37" s="110">
        <v>24468</v>
      </c>
      <c r="E37" s="110">
        <f>D37*(1+E38)</f>
        <v>24468</v>
      </c>
      <c r="F37" s="110">
        <f>E37*(1+F38)</f>
        <v>24468</v>
      </c>
      <c r="G37" s="110">
        <f>F37*(1+G38)</f>
        <v>24468</v>
      </c>
      <c r="H37" s="110">
        <f t="shared" ref="H37:M37" si="0">D37*(1+H38)</f>
        <v>24468</v>
      </c>
      <c r="I37" s="110">
        <f t="shared" si="0"/>
        <v>24468</v>
      </c>
      <c r="J37" s="110">
        <f t="shared" si="0"/>
        <v>24468</v>
      </c>
      <c r="K37" s="110">
        <f t="shared" si="0"/>
        <v>24468</v>
      </c>
      <c r="L37" s="110">
        <f t="shared" si="0"/>
        <v>24468</v>
      </c>
      <c r="M37" s="111">
        <f t="shared" si="0"/>
        <v>24468</v>
      </c>
    </row>
    <row r="38" spans="1:13" ht="12.75">
      <c r="B38" s="140" t="s">
        <v>234</v>
      </c>
      <c r="C38" s="141"/>
      <c r="D38" s="142"/>
      <c r="E38" s="142">
        <v>0</v>
      </c>
      <c r="F38" s="142"/>
      <c r="G38" s="142"/>
      <c r="H38" s="142">
        <v>0</v>
      </c>
      <c r="I38" s="142">
        <v>0</v>
      </c>
      <c r="J38" s="142">
        <v>0</v>
      </c>
      <c r="K38" s="142">
        <v>0</v>
      </c>
      <c r="L38" s="142">
        <v>0</v>
      </c>
      <c r="M38" s="143">
        <v>0</v>
      </c>
    </row>
    <row r="39" spans="1:13" ht="12.75">
      <c r="B39" s="140" t="s">
        <v>235</v>
      </c>
      <c r="C39" s="141"/>
      <c r="D39" s="142">
        <v>0</v>
      </c>
      <c r="E39" s="142">
        <v>0</v>
      </c>
      <c r="F39" s="142">
        <v>0</v>
      </c>
      <c r="G39" s="142">
        <v>0</v>
      </c>
      <c r="H39" s="142">
        <v>0</v>
      </c>
      <c r="I39" s="142">
        <v>0</v>
      </c>
      <c r="J39" s="142">
        <v>0</v>
      </c>
      <c r="K39" s="142">
        <v>0</v>
      </c>
      <c r="L39" s="142">
        <v>0</v>
      </c>
      <c r="M39" s="143">
        <v>0</v>
      </c>
    </row>
    <row r="40" spans="1:13" ht="12.75">
      <c r="B40" s="140" t="s">
        <v>220</v>
      </c>
      <c r="C40" s="141"/>
      <c r="D40" s="141">
        <v>11000</v>
      </c>
      <c r="E40" s="141">
        <v>11000</v>
      </c>
      <c r="F40" s="141">
        <v>11000</v>
      </c>
      <c r="G40" s="141">
        <v>11000</v>
      </c>
      <c r="H40" s="141">
        <v>11000</v>
      </c>
      <c r="I40" s="141">
        <v>11000</v>
      </c>
      <c r="J40" s="141">
        <v>11000</v>
      </c>
      <c r="K40" s="141">
        <v>11000</v>
      </c>
      <c r="L40" s="141">
        <v>11000</v>
      </c>
      <c r="M40" s="144">
        <v>11000</v>
      </c>
    </row>
    <row r="41" spans="1:13" ht="12.75">
      <c r="B41" s="145" t="s">
        <v>236</v>
      </c>
      <c r="C41" s="146">
        <f>IF(B34&lt;0,B34,0)</f>
        <v>0</v>
      </c>
      <c r="D41" s="147">
        <f>C41*E42</f>
        <v>0</v>
      </c>
      <c r="E41" s="147">
        <f>D43*F42</f>
        <v>0</v>
      </c>
      <c r="F41" s="147">
        <f>E43*G42</f>
        <v>0</v>
      </c>
      <c r="G41" s="147">
        <f>F43*H42</f>
        <v>0</v>
      </c>
      <c r="H41" s="147" t="str">
        <f t="shared" ref="H41:M41" ca="1" si="1">G43*I43</f>
        <v>#REF!</v>
      </c>
      <c r="I41" s="147" t="str">
        <f t="shared" ca="1" si="1"/>
        <v>#REF!</v>
      </c>
      <c r="J41" s="147" t="str">
        <f t="shared" ca="1" si="1"/>
        <v>#REF!</v>
      </c>
      <c r="K41" s="147" t="str">
        <f t="shared" ca="1" si="1"/>
        <v>#REF!</v>
      </c>
      <c r="L41" s="147" t="str">
        <f t="shared" ca="1" si="1"/>
        <v>#REF!</v>
      </c>
      <c r="M41" s="148" t="str">
        <f t="shared" ca="1" si="1"/>
        <v>#REF!</v>
      </c>
    </row>
    <row r="42" spans="1:13" ht="12.75">
      <c r="B42" s="145" t="s">
        <v>237</v>
      </c>
      <c r="C42" s="147"/>
      <c r="D42" s="149">
        <v>0</v>
      </c>
      <c r="E42" s="149">
        <f t="shared" ref="E42:M42" si="2">(E37/D37)-1</f>
        <v>0</v>
      </c>
      <c r="F42" s="149">
        <f t="shared" si="2"/>
        <v>0</v>
      </c>
      <c r="G42" s="149">
        <f t="shared" si="2"/>
        <v>0</v>
      </c>
      <c r="H42" s="149">
        <f t="shared" si="2"/>
        <v>0</v>
      </c>
      <c r="I42" s="149">
        <f t="shared" si="2"/>
        <v>0</v>
      </c>
      <c r="J42" s="149">
        <f t="shared" si="2"/>
        <v>0</v>
      </c>
      <c r="K42" s="149">
        <f t="shared" si="2"/>
        <v>0</v>
      </c>
      <c r="L42" s="149">
        <f t="shared" si="2"/>
        <v>0</v>
      </c>
      <c r="M42" s="150">
        <f t="shared" si="2"/>
        <v>0</v>
      </c>
    </row>
    <row r="43" spans="1:13" ht="12.75">
      <c r="B43" s="145" t="s">
        <v>238</v>
      </c>
      <c r="C43" s="146"/>
      <c r="D43" s="146">
        <f>C41</f>
        <v>0</v>
      </c>
      <c r="E43" s="146">
        <f t="shared" ref="E43:M43" si="3">D43+D41</f>
        <v>0</v>
      </c>
      <c r="F43" s="146">
        <f t="shared" si="3"/>
        <v>0</v>
      </c>
      <c r="G43" s="146">
        <f t="shared" si="3"/>
        <v>0</v>
      </c>
      <c r="H43" s="146">
        <f t="shared" si="3"/>
        <v>0</v>
      </c>
      <c r="I43" s="146" t="str">
        <f t="shared" ca="1" si="3"/>
        <v>#REF!</v>
      </c>
      <c r="J43" s="146" t="str">
        <f t="shared" ca="1" si="3"/>
        <v>#REF!</v>
      </c>
      <c r="K43" s="146" t="str">
        <f t="shared" ca="1" si="3"/>
        <v>#REF!</v>
      </c>
      <c r="L43" s="146" t="str">
        <f t="shared" ca="1" si="3"/>
        <v>#REF!</v>
      </c>
      <c r="M43" s="178" t="str">
        <f t="shared" ca="1" si="3"/>
        <v>#REF!</v>
      </c>
    </row>
    <row r="44" spans="1:13" ht="12.75">
      <c r="B44" s="179" t="s">
        <v>27</v>
      </c>
      <c r="C44" s="180">
        <v>0</v>
      </c>
      <c r="D44" s="180">
        <v>1</v>
      </c>
      <c r="E44" s="180">
        <v>2</v>
      </c>
      <c r="F44" s="180">
        <v>3</v>
      </c>
      <c r="G44" s="180">
        <v>4</v>
      </c>
      <c r="H44" s="180">
        <v>5</v>
      </c>
      <c r="I44" s="180">
        <v>6</v>
      </c>
      <c r="J44" s="180">
        <v>7</v>
      </c>
      <c r="K44" s="180">
        <v>8</v>
      </c>
      <c r="L44" s="180">
        <v>9</v>
      </c>
      <c r="M44" s="181">
        <v>10</v>
      </c>
    </row>
    <row r="45" spans="1:13" ht="12.75">
      <c r="B45" s="57" t="s">
        <v>118</v>
      </c>
      <c r="C45" s="29"/>
      <c r="D45" s="29"/>
      <c r="E45" s="29"/>
      <c r="F45" s="29"/>
      <c r="G45" s="29"/>
      <c r="H45" s="29"/>
      <c r="I45" s="29"/>
      <c r="J45" s="29"/>
      <c r="K45" s="29"/>
      <c r="L45" s="29"/>
      <c r="M45" s="58"/>
    </row>
    <row r="46" spans="1:13" ht="12.75">
      <c r="B46" s="47" t="s">
        <v>258</v>
      </c>
      <c r="C46" s="26"/>
      <c r="D46" s="26">
        <f t="shared" ref="D46:M46" si="4">D40*D37</f>
        <v>269148000</v>
      </c>
      <c r="E46" s="26">
        <f t="shared" si="4"/>
        <v>269148000</v>
      </c>
      <c r="F46" s="26">
        <f t="shared" si="4"/>
        <v>269148000</v>
      </c>
      <c r="G46" s="26">
        <f t="shared" si="4"/>
        <v>269148000</v>
      </c>
      <c r="H46" s="26">
        <f t="shared" si="4"/>
        <v>269148000</v>
      </c>
      <c r="I46" s="26">
        <f t="shared" si="4"/>
        <v>269148000</v>
      </c>
      <c r="J46" s="26">
        <f t="shared" si="4"/>
        <v>269148000</v>
      </c>
      <c r="K46" s="26">
        <f t="shared" si="4"/>
        <v>269148000</v>
      </c>
      <c r="L46" s="26">
        <f t="shared" si="4"/>
        <v>269148000</v>
      </c>
      <c r="M46" s="59">
        <f t="shared" si="4"/>
        <v>269148000</v>
      </c>
    </row>
    <row r="47" spans="1:13" ht="12.75">
      <c r="B47" s="47" t="s">
        <v>40</v>
      </c>
      <c r="C47" s="26"/>
      <c r="D47" s="26"/>
      <c r="E47" s="26"/>
      <c r="F47" s="26"/>
      <c r="G47" s="26"/>
      <c r="H47" s="26"/>
      <c r="I47" s="26"/>
      <c r="J47" s="26"/>
      <c r="K47" s="26"/>
      <c r="L47" s="26"/>
      <c r="M47" s="59">
        <f>C61*-0.2</f>
        <v>30000000</v>
      </c>
    </row>
    <row r="48" spans="1:13" ht="12.75">
      <c r="B48" s="57" t="s">
        <v>121</v>
      </c>
      <c r="C48" s="29"/>
      <c r="D48" s="29"/>
      <c r="E48" s="29"/>
      <c r="F48" s="29"/>
      <c r="G48" s="29"/>
      <c r="H48" s="29"/>
      <c r="I48" s="29"/>
      <c r="J48" s="29"/>
      <c r="K48" s="29"/>
      <c r="L48" s="29"/>
      <c r="M48" s="58"/>
    </row>
    <row r="49" spans="2:13" ht="12.75">
      <c r="B49" s="47" t="s">
        <v>241</v>
      </c>
      <c r="C49" s="134">
        <v>0.1</v>
      </c>
      <c r="D49" s="105">
        <f t="shared" ref="D49:M49" si="5">-D46*$C$49</f>
        <v>-26914800</v>
      </c>
      <c r="E49" s="105">
        <f t="shared" si="5"/>
        <v>-26914800</v>
      </c>
      <c r="F49" s="105">
        <f t="shared" si="5"/>
        <v>-26914800</v>
      </c>
      <c r="G49" s="105">
        <f t="shared" si="5"/>
        <v>-26914800</v>
      </c>
      <c r="H49" s="105">
        <f t="shared" si="5"/>
        <v>-26914800</v>
      </c>
      <c r="I49" s="105">
        <f t="shared" si="5"/>
        <v>-26914800</v>
      </c>
      <c r="J49" s="105">
        <f t="shared" si="5"/>
        <v>-26914800</v>
      </c>
      <c r="K49" s="105">
        <f t="shared" si="5"/>
        <v>-26914800</v>
      </c>
      <c r="L49" s="105">
        <f t="shared" si="5"/>
        <v>-26914800</v>
      </c>
      <c r="M49" s="121">
        <f t="shared" si="5"/>
        <v>-26914800</v>
      </c>
    </row>
    <row r="50" spans="2:13" ht="12.75">
      <c r="B50" s="47" t="s">
        <v>123</v>
      </c>
      <c r="C50" s="26"/>
      <c r="D50" s="26">
        <v>-45000000</v>
      </c>
      <c r="E50" s="26">
        <v>-45000000</v>
      </c>
      <c r="F50" s="26">
        <v>-45000000</v>
      </c>
      <c r="G50" s="26">
        <v>-45000000</v>
      </c>
      <c r="H50" s="26">
        <v>-45000000</v>
      </c>
      <c r="I50" s="26">
        <v>-45000000</v>
      </c>
      <c r="J50" s="26">
        <v>-45000000</v>
      </c>
      <c r="K50" s="26">
        <v>-45000000</v>
      </c>
      <c r="L50" s="26">
        <v>-45000000</v>
      </c>
      <c r="M50" s="26">
        <v>-45000000</v>
      </c>
    </row>
    <row r="51" spans="2:13" ht="12.75">
      <c r="B51" s="47" t="s">
        <v>124</v>
      </c>
      <c r="C51" s="26">
        <f>D51+D50</f>
        <v>-225926417.1295034</v>
      </c>
      <c r="D51" s="26">
        <f t="shared" ref="D51:M51" si="6">-D37*$B$17</f>
        <v>-180926417.1295034</v>
      </c>
      <c r="E51" s="26">
        <f t="shared" si="6"/>
        <v>-180926417.1295034</v>
      </c>
      <c r="F51" s="26">
        <f t="shared" si="6"/>
        <v>-180926417.1295034</v>
      </c>
      <c r="G51" s="26">
        <f t="shared" si="6"/>
        <v>-180926417.1295034</v>
      </c>
      <c r="H51" s="26">
        <f t="shared" si="6"/>
        <v>-180926417.1295034</v>
      </c>
      <c r="I51" s="26">
        <f t="shared" si="6"/>
        <v>-180926417.1295034</v>
      </c>
      <c r="J51" s="26">
        <f t="shared" si="6"/>
        <v>-180926417.1295034</v>
      </c>
      <c r="K51" s="26">
        <f t="shared" si="6"/>
        <v>-180926417.1295034</v>
      </c>
      <c r="L51" s="26">
        <f t="shared" si="6"/>
        <v>-180926417.1295034</v>
      </c>
      <c r="M51" s="59">
        <f t="shared" si="6"/>
        <v>-180926417.1295034</v>
      </c>
    </row>
    <row r="52" spans="2:13" ht="12.75">
      <c r="B52" s="57" t="s">
        <v>125</v>
      </c>
      <c r="C52" s="29"/>
      <c r="D52" s="29"/>
      <c r="E52" s="29"/>
      <c r="F52" s="29"/>
      <c r="G52" s="29"/>
      <c r="H52" s="29"/>
      <c r="I52" s="29"/>
      <c r="J52" s="29"/>
      <c r="K52" s="29"/>
      <c r="L52" s="29"/>
      <c r="M52" s="58"/>
    </row>
    <row r="53" spans="2:13" ht="12.75">
      <c r="B53" s="47" t="s">
        <v>259</v>
      </c>
      <c r="C53" s="182">
        <v>10</v>
      </c>
      <c r="D53" s="26">
        <f t="shared" ref="D53:M53" si="7">($C$61+$C$60)/$C$53</f>
        <v>-15000000</v>
      </c>
      <c r="E53" s="26">
        <f t="shared" si="7"/>
        <v>-15000000</v>
      </c>
      <c r="F53" s="26">
        <f t="shared" si="7"/>
        <v>-15000000</v>
      </c>
      <c r="G53" s="26">
        <f t="shared" si="7"/>
        <v>-15000000</v>
      </c>
      <c r="H53" s="26">
        <f t="shared" si="7"/>
        <v>-15000000</v>
      </c>
      <c r="I53" s="26">
        <f t="shared" si="7"/>
        <v>-15000000</v>
      </c>
      <c r="J53" s="26">
        <f t="shared" si="7"/>
        <v>-15000000</v>
      </c>
      <c r="K53" s="26">
        <f t="shared" si="7"/>
        <v>-15000000</v>
      </c>
      <c r="L53" s="26">
        <f t="shared" si="7"/>
        <v>-15000000</v>
      </c>
      <c r="M53" s="59">
        <f t="shared" si="7"/>
        <v>-15000000</v>
      </c>
    </row>
    <row r="54" spans="2:13" ht="14.25">
      <c r="B54" s="60" t="s">
        <v>130</v>
      </c>
      <c r="C54" s="32"/>
      <c r="D54" s="32">
        <f t="shared" ref="D54:M54" si="8">SUM(D45:D53)</f>
        <v>1306782.8704966009</v>
      </c>
      <c r="E54" s="32">
        <f t="shared" si="8"/>
        <v>1306782.8704966009</v>
      </c>
      <c r="F54" s="32">
        <f t="shared" si="8"/>
        <v>1306782.8704966009</v>
      </c>
      <c r="G54" s="32">
        <f t="shared" si="8"/>
        <v>1306782.8704966009</v>
      </c>
      <c r="H54" s="32">
        <f t="shared" si="8"/>
        <v>1306782.8704966009</v>
      </c>
      <c r="I54" s="32">
        <f t="shared" si="8"/>
        <v>1306782.8704966009</v>
      </c>
      <c r="J54" s="32">
        <f t="shared" si="8"/>
        <v>1306782.8704966009</v>
      </c>
      <c r="K54" s="32">
        <f t="shared" si="8"/>
        <v>1306782.8704966009</v>
      </c>
      <c r="L54" s="32">
        <f t="shared" si="8"/>
        <v>1306782.8704966009</v>
      </c>
      <c r="M54" s="61">
        <f t="shared" si="8"/>
        <v>31306782.870496601</v>
      </c>
    </row>
    <row r="55" spans="2:13" ht="12.75">
      <c r="B55" s="62" t="s">
        <v>159</v>
      </c>
      <c r="C55" s="134">
        <v>0.15</v>
      </c>
      <c r="D55" s="26">
        <f t="shared" ref="D55:M55" si="9">-D54*$C$55</f>
        <v>-196017.43057449014</v>
      </c>
      <c r="E55" s="26">
        <f t="shared" si="9"/>
        <v>-196017.43057449014</v>
      </c>
      <c r="F55" s="26">
        <f t="shared" si="9"/>
        <v>-196017.43057449014</v>
      </c>
      <c r="G55" s="26">
        <f t="shared" si="9"/>
        <v>-196017.43057449014</v>
      </c>
      <c r="H55" s="26">
        <f t="shared" si="9"/>
        <v>-196017.43057449014</v>
      </c>
      <c r="I55" s="26">
        <f t="shared" si="9"/>
        <v>-196017.43057449014</v>
      </c>
      <c r="J55" s="26">
        <f t="shared" si="9"/>
        <v>-196017.43057449014</v>
      </c>
      <c r="K55" s="26">
        <f t="shared" si="9"/>
        <v>-196017.43057449014</v>
      </c>
      <c r="L55" s="26">
        <f t="shared" si="9"/>
        <v>-196017.43057449014</v>
      </c>
      <c r="M55" s="59">
        <f t="shared" si="9"/>
        <v>-4696017.4305744898</v>
      </c>
    </row>
    <row r="56" spans="2:13" ht="28.5">
      <c r="B56" s="63" t="s">
        <v>132</v>
      </c>
      <c r="C56" s="35"/>
      <c r="D56" s="35">
        <f t="shared" ref="D56:M56" si="10">SUM(D54:D55)</f>
        <v>1110765.4399221106</v>
      </c>
      <c r="E56" s="35">
        <f t="shared" si="10"/>
        <v>1110765.4399221106</v>
      </c>
      <c r="F56" s="35">
        <f t="shared" si="10"/>
        <v>1110765.4399221106</v>
      </c>
      <c r="G56" s="35">
        <f t="shared" si="10"/>
        <v>1110765.4399221106</v>
      </c>
      <c r="H56" s="35">
        <f t="shared" si="10"/>
        <v>1110765.4399221106</v>
      </c>
      <c r="I56" s="35">
        <f t="shared" si="10"/>
        <v>1110765.4399221106</v>
      </c>
      <c r="J56" s="35">
        <f t="shared" si="10"/>
        <v>1110765.4399221106</v>
      </c>
      <c r="K56" s="35">
        <f t="shared" si="10"/>
        <v>1110765.4399221106</v>
      </c>
      <c r="L56" s="35">
        <f t="shared" si="10"/>
        <v>1110765.4399221106</v>
      </c>
      <c r="M56" s="64">
        <f t="shared" si="10"/>
        <v>26610765.439922109</v>
      </c>
    </row>
    <row r="57" spans="2:13" ht="12.75">
      <c r="B57" s="62" t="s">
        <v>245</v>
      </c>
      <c r="C57" s="26"/>
      <c r="D57" s="26">
        <f t="shared" ref="D57:M57" si="11">-SUM(D53)</f>
        <v>15000000</v>
      </c>
      <c r="E57" s="26">
        <f t="shared" si="11"/>
        <v>15000000</v>
      </c>
      <c r="F57" s="26">
        <f t="shared" si="11"/>
        <v>15000000</v>
      </c>
      <c r="G57" s="26">
        <f t="shared" si="11"/>
        <v>15000000</v>
      </c>
      <c r="H57" s="26">
        <f t="shared" si="11"/>
        <v>15000000</v>
      </c>
      <c r="I57" s="26">
        <f t="shared" si="11"/>
        <v>15000000</v>
      </c>
      <c r="J57" s="26">
        <f t="shared" si="11"/>
        <v>15000000</v>
      </c>
      <c r="K57" s="26">
        <f t="shared" si="11"/>
        <v>15000000</v>
      </c>
      <c r="L57" s="26">
        <f t="shared" si="11"/>
        <v>15000000</v>
      </c>
      <c r="M57" s="59">
        <f t="shared" si="11"/>
        <v>15000000</v>
      </c>
    </row>
    <row r="58" spans="2:13" ht="12.75">
      <c r="B58" s="47" t="s">
        <v>134</v>
      </c>
      <c r="C58" s="26"/>
      <c r="D58" s="105">
        <f>-G4</f>
        <v>0</v>
      </c>
      <c r="E58" s="105">
        <f>-G5</f>
        <v>0</v>
      </c>
      <c r="F58" s="105">
        <f>-G6</f>
        <v>0</v>
      </c>
      <c r="G58" s="105">
        <f>-G7</f>
        <v>0</v>
      </c>
      <c r="H58" s="105">
        <f t="shared" ref="H58:M58" si="12">-G13</f>
        <v>0</v>
      </c>
      <c r="I58" s="105">
        <f t="shared" si="12"/>
        <v>0</v>
      </c>
      <c r="J58" s="105">
        <f t="shared" si="12"/>
        <v>0</v>
      </c>
      <c r="K58" s="105">
        <f t="shared" si="12"/>
        <v>0</v>
      </c>
      <c r="L58" s="105">
        <f t="shared" si="12"/>
        <v>0</v>
      </c>
      <c r="M58" s="121">
        <f t="shared" si="12"/>
        <v>0</v>
      </c>
    </row>
    <row r="59" spans="2:13" ht="12.75">
      <c r="B59" s="47" t="s">
        <v>135</v>
      </c>
      <c r="C59" s="26">
        <v>0</v>
      </c>
      <c r="D59" s="26"/>
      <c r="E59" s="26"/>
      <c r="F59" s="26"/>
      <c r="G59" s="26"/>
      <c r="H59" s="26"/>
      <c r="I59" s="26"/>
      <c r="J59" s="26"/>
      <c r="K59" s="26"/>
      <c r="L59" s="26"/>
      <c r="M59" s="59"/>
    </row>
    <row r="60" spans="2:13" ht="12.75">
      <c r="B60" s="47" t="s">
        <v>246</v>
      </c>
      <c r="C60" s="26"/>
      <c r="D60" s="26"/>
      <c r="E60" s="26"/>
      <c r="F60" s="26"/>
      <c r="G60" s="26"/>
      <c r="H60" s="26"/>
      <c r="I60" s="26"/>
      <c r="J60" s="26"/>
      <c r="K60" s="26"/>
      <c r="L60" s="26"/>
      <c r="M60" s="59"/>
    </row>
    <row r="61" spans="2:13" ht="12.75">
      <c r="B61" s="47" t="s">
        <v>247</v>
      </c>
      <c r="C61" s="26">
        <v>-150000000</v>
      </c>
      <c r="D61" s="26"/>
      <c r="E61" s="26"/>
      <c r="F61" s="26"/>
      <c r="G61" s="26"/>
      <c r="H61" s="26"/>
      <c r="I61" s="26"/>
      <c r="J61" s="26"/>
      <c r="K61" s="26"/>
      <c r="L61" s="26"/>
      <c r="M61" s="59"/>
    </row>
    <row r="62" spans="2:13" ht="14.25">
      <c r="B62" s="66" t="s">
        <v>139</v>
      </c>
      <c r="C62" s="67">
        <f t="shared" ref="C62:M62" si="13">SUM(C56:C61)</f>
        <v>-150000000</v>
      </c>
      <c r="D62" s="67">
        <f t="shared" si="13"/>
        <v>16110765.439922111</v>
      </c>
      <c r="E62" s="67">
        <f t="shared" si="13"/>
        <v>16110765.439922111</v>
      </c>
      <c r="F62" s="67">
        <f t="shared" si="13"/>
        <v>16110765.439922111</v>
      </c>
      <c r="G62" s="67">
        <f t="shared" si="13"/>
        <v>16110765.439922111</v>
      </c>
      <c r="H62" s="67">
        <f t="shared" si="13"/>
        <v>16110765.439922111</v>
      </c>
      <c r="I62" s="67">
        <f t="shared" si="13"/>
        <v>16110765.439922111</v>
      </c>
      <c r="J62" s="67">
        <f t="shared" si="13"/>
        <v>16110765.439922111</v>
      </c>
      <c r="K62" s="67">
        <f t="shared" si="13"/>
        <v>16110765.439922111</v>
      </c>
      <c r="L62" s="67">
        <f t="shared" si="13"/>
        <v>16110765.439922111</v>
      </c>
      <c r="M62" s="68">
        <f t="shared" si="13"/>
        <v>41610765.439922109</v>
      </c>
    </row>
    <row r="63" spans="2:13" ht="12.75">
      <c r="F63" s="183" t="s">
        <v>138</v>
      </c>
      <c r="G63" s="184">
        <v>0.16</v>
      </c>
      <c r="H63" s="185">
        <f t="array" ref="H63">C62+NPV(G63,D62:M62)</f>
        <v>-66352573.888891935</v>
      </c>
    </row>
  </sheetData>
  <mergeCells count="5">
    <mergeCell ref="D1:H1"/>
    <mergeCell ref="A7:B7"/>
    <mergeCell ref="A21:B21"/>
    <mergeCell ref="A27:B27"/>
    <mergeCell ref="D30:G30"/>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L47"/>
  <sheetViews>
    <sheetView workbookViewId="0">
      <selection activeCell="I28" sqref="I28"/>
    </sheetView>
  </sheetViews>
  <sheetFormatPr defaultColWidth="14.42578125" defaultRowHeight="15.75" customHeight="1"/>
  <cols>
    <col min="1" max="1" width="9.140625" customWidth="1"/>
    <col min="3" max="3" width="37.28515625" customWidth="1"/>
  </cols>
  <sheetData>
    <row r="1" spans="2:12" ht="12.75">
      <c r="C1" s="27" t="s">
        <v>27</v>
      </c>
      <c r="D1" s="27" t="s">
        <v>112</v>
      </c>
      <c r="E1" s="27" t="s">
        <v>113</v>
      </c>
      <c r="F1" s="27" t="s">
        <v>114</v>
      </c>
      <c r="G1" s="27" t="s">
        <v>115</v>
      </c>
    </row>
    <row r="2" spans="2:12" ht="12.75">
      <c r="C2" s="28" t="s">
        <v>118</v>
      </c>
      <c r="D2" s="29"/>
      <c r="E2" s="29"/>
      <c r="F2" s="29"/>
      <c r="G2" s="29"/>
    </row>
    <row r="3" spans="2:12" ht="12.75">
      <c r="C3" s="25" t="s">
        <v>119</v>
      </c>
      <c r="D3" s="26"/>
      <c r="E3" s="26"/>
      <c r="F3" s="26"/>
      <c r="G3" s="26"/>
    </row>
    <row r="4" spans="2:12" ht="12.75">
      <c r="C4" s="25" t="s">
        <v>120</v>
      </c>
      <c r="D4" s="26"/>
      <c r="E4" s="26"/>
      <c r="F4" s="26"/>
      <c r="G4" s="26"/>
      <c r="J4" s="186"/>
      <c r="K4" s="186"/>
      <c r="L4" s="186"/>
    </row>
    <row r="5" spans="2:12" ht="12.75">
      <c r="C5" s="28" t="s">
        <v>121</v>
      </c>
      <c r="D5" s="29"/>
      <c r="E5" s="29"/>
      <c r="F5" s="29"/>
      <c r="G5" s="29"/>
      <c r="J5" s="251"/>
      <c r="K5" s="209"/>
      <c r="L5" s="209"/>
    </row>
    <row r="6" spans="2:12" ht="12.75">
      <c r="C6" s="25" t="s">
        <v>122</v>
      </c>
      <c r="D6" s="26"/>
      <c r="E6" s="26">
        <v>-8400.0000000000073</v>
      </c>
      <c r="F6" s="26">
        <v>-5812.518482010847</v>
      </c>
      <c r="G6" s="26">
        <v>-3018.0384425825541</v>
      </c>
    </row>
    <row r="7" spans="2:12" ht="12.75">
      <c r="C7" s="25" t="s">
        <v>123</v>
      </c>
      <c r="D7" s="26"/>
      <c r="E7" s="26">
        <v>-550000</v>
      </c>
      <c r="F7" s="26">
        <v>-550000</v>
      </c>
      <c r="G7" s="26">
        <v>-550000</v>
      </c>
    </row>
    <row r="8" spans="2:12" ht="12.75">
      <c r="C8" s="25" t="s">
        <v>124</v>
      </c>
      <c r="D8" s="26"/>
      <c r="E8" s="26">
        <f>-3000</f>
        <v>-3000</v>
      </c>
      <c r="F8" s="26">
        <f>-3000</f>
        <v>-3000</v>
      </c>
      <c r="G8" s="26">
        <f>-3000</f>
        <v>-3000</v>
      </c>
    </row>
    <row r="9" spans="2:12" ht="12.75">
      <c r="C9" s="28" t="s">
        <v>125</v>
      </c>
      <c r="D9" s="29"/>
      <c r="E9" s="29"/>
      <c r="F9" s="29"/>
      <c r="G9" s="29"/>
    </row>
    <row r="10" spans="2:12" ht="12.75">
      <c r="C10" s="25" t="s">
        <v>156</v>
      </c>
      <c r="D10" s="26"/>
      <c r="E10" s="26">
        <f>$D$19/5</f>
        <v>-30000</v>
      </c>
      <c r="F10" s="26">
        <f>$D$19/5</f>
        <v>-30000</v>
      </c>
      <c r="G10" s="26">
        <f>$D$19/5</f>
        <v>-30000</v>
      </c>
    </row>
    <row r="11" spans="2:12" ht="12.75">
      <c r="C11" s="25" t="s">
        <v>129</v>
      </c>
      <c r="D11" s="26"/>
      <c r="E11" s="26"/>
      <c r="F11" s="26"/>
      <c r="G11" s="25"/>
    </row>
    <row r="12" spans="2:12" ht="12.75">
      <c r="C12" s="25" t="s">
        <v>70</v>
      </c>
      <c r="D12" s="26"/>
      <c r="E12" s="26"/>
      <c r="F12" s="26"/>
      <c r="G12" s="26">
        <f>G10*2</f>
        <v>-60000</v>
      </c>
      <c r="K12" s="209"/>
    </row>
    <row r="13" spans="2:12" ht="14.25">
      <c r="C13" s="31" t="s">
        <v>130</v>
      </c>
      <c r="D13" s="32"/>
      <c r="E13" s="32">
        <f>SUM(E2:E12)</f>
        <v>-591400</v>
      </c>
      <c r="F13" s="32">
        <f>SUM(F2:F12)</f>
        <v>-588812.51848201081</v>
      </c>
      <c r="G13" s="32">
        <f>SUM(G2:G12)</f>
        <v>-646018.03844258259</v>
      </c>
      <c r="J13" s="186" t="s">
        <v>314</v>
      </c>
      <c r="K13" s="209">
        <v>2100000</v>
      </c>
    </row>
    <row r="14" spans="2:12" ht="12.75">
      <c r="B14" s="3"/>
      <c r="C14" s="33" t="s">
        <v>157</v>
      </c>
      <c r="D14" s="26"/>
      <c r="E14" s="26">
        <f>E13*$B$44</f>
        <v>-59140</v>
      </c>
      <c r="F14" s="26">
        <f>F13*$B$44</f>
        <v>-58881.251848201086</v>
      </c>
      <c r="G14" s="26">
        <f>G13*$B$44</f>
        <v>-64601.803844258262</v>
      </c>
      <c r="J14" s="186" t="s">
        <v>315</v>
      </c>
      <c r="K14" s="251">
        <v>-3000000</v>
      </c>
    </row>
    <row r="15" spans="2:12" ht="28.5">
      <c r="C15" s="34" t="s">
        <v>132</v>
      </c>
      <c r="D15" s="35"/>
      <c r="E15" s="35">
        <f>E13-E14</f>
        <v>-532260</v>
      </c>
      <c r="F15" s="35">
        <f>F13-F14</f>
        <v>-529931.26663380978</v>
      </c>
      <c r="G15" s="35">
        <f>G13-G14</f>
        <v>-581416.23459832428</v>
      </c>
      <c r="K15" s="209">
        <f>K13+K14</f>
        <v>-900000</v>
      </c>
    </row>
    <row r="16" spans="2:12" ht="12.75">
      <c r="C16" s="33" t="s">
        <v>133</v>
      </c>
      <c r="D16" s="26"/>
      <c r="E16" s="26">
        <f>-E10</f>
        <v>30000</v>
      </c>
      <c r="F16" s="26">
        <f>-F10</f>
        <v>30000</v>
      </c>
      <c r="G16" s="26">
        <f>-G10-G12</f>
        <v>90000</v>
      </c>
      <c r="H16" s="3"/>
      <c r="K16" s="209"/>
    </row>
    <row r="17" spans="1:9" ht="12.75">
      <c r="C17" s="25" t="s">
        <v>134</v>
      </c>
      <c r="D17" s="26"/>
      <c r="E17" s="26">
        <v>-32343.51897486447</v>
      </c>
      <c r="F17" s="26">
        <v>-34931.000492853629</v>
      </c>
      <c r="G17" s="26">
        <v>-37725.480532281923</v>
      </c>
    </row>
    <row r="18" spans="1:9" ht="12.75">
      <c r="C18" s="25" t="s">
        <v>135</v>
      </c>
      <c r="D18" s="26">
        <f>D19*-0.7</f>
        <v>105000</v>
      </c>
      <c r="E18" s="26"/>
      <c r="F18" s="26"/>
      <c r="G18" s="26"/>
    </row>
    <row r="19" spans="1:9" ht="15.75" customHeight="1">
      <c r="C19" s="25" t="s">
        <v>158</v>
      </c>
      <c r="D19" s="26">
        <v>-150000</v>
      </c>
      <c r="E19" s="26"/>
      <c r="F19" s="26"/>
      <c r="G19" s="26"/>
      <c r="H19" s="36" t="s">
        <v>138</v>
      </c>
      <c r="I19" s="52">
        <f>(1+0.05/(360/90))^(360/90)-1</f>
        <v>5.0945336914062445E-2</v>
      </c>
    </row>
    <row r="20" spans="1:9" ht="17.25">
      <c r="C20" s="37" t="s">
        <v>139</v>
      </c>
      <c r="D20" s="35">
        <f>SUM(D15:D19)</f>
        <v>-45000</v>
      </c>
      <c r="E20" s="35">
        <f>SUM(E15:E19)</f>
        <v>-534603.51897486451</v>
      </c>
      <c r="F20" s="35">
        <f>SUM(F15:F19)</f>
        <v>-534862.26712666336</v>
      </c>
      <c r="G20" s="35">
        <f>SUM(G15:G19)</f>
        <v>-529141.7151306062</v>
      </c>
      <c r="H20" s="38">
        <f>D20+NPV(I19,E20:G20)</f>
        <v>-1493811.8300052062</v>
      </c>
      <c r="I20" s="53"/>
    </row>
    <row r="21" spans="1:9" ht="12.75">
      <c r="E21" s="5">
        <f>E20/(1+$I$19)^E22</f>
        <v>-508688.2259210975</v>
      </c>
      <c r="F21" s="5">
        <f>F20/(1+$I$19)^F22</f>
        <v>-484263.46565570048</v>
      </c>
      <c r="G21" s="5">
        <f>G20/(1+$I$19)^G22</f>
        <v>-455860.13842840813</v>
      </c>
      <c r="H21" s="5">
        <f>D20+SUM(E21:G21)</f>
        <v>-1493811.8300052062</v>
      </c>
    </row>
    <row r="22" spans="1:9" ht="12.75">
      <c r="E22" s="4">
        <v>1</v>
      </c>
      <c r="F22" s="4">
        <v>2</v>
      </c>
      <c r="G22" s="4">
        <v>3</v>
      </c>
    </row>
    <row r="24" spans="1:9" ht="12.75">
      <c r="A24" s="21" t="s">
        <v>0</v>
      </c>
      <c r="B24" s="22">
        <v>0.08</v>
      </c>
    </row>
    <row r="25" spans="1:9" ht="12.75">
      <c r="A25" s="21" t="s">
        <v>104</v>
      </c>
      <c r="B25" s="23">
        <v>12</v>
      </c>
    </row>
    <row r="26" spans="1:9" ht="12.75">
      <c r="A26" s="21"/>
      <c r="B26" s="23">
        <v>12</v>
      </c>
    </row>
    <row r="27" spans="1:9" ht="12.75">
      <c r="A27" s="21" t="s">
        <v>3</v>
      </c>
      <c r="B27" s="39">
        <f>((1+B24/B25)^B26)-1</f>
        <v>8.2999506807510004E-2</v>
      </c>
    </row>
    <row r="28" spans="1:9" ht="12.75">
      <c r="A28" s="21" t="s">
        <v>104</v>
      </c>
      <c r="B28" s="23">
        <v>3</v>
      </c>
    </row>
    <row r="30" spans="1:9" ht="12.75">
      <c r="A30" s="1615" t="s">
        <v>103</v>
      </c>
      <c r="B30" s="1613"/>
      <c r="C30" s="1613"/>
      <c r="D30" s="1613"/>
      <c r="E30" s="1614"/>
    </row>
    <row r="31" spans="1:9" ht="12.75">
      <c r="A31" s="24" t="s">
        <v>105</v>
      </c>
      <c r="B31" s="24" t="s">
        <v>106</v>
      </c>
      <c r="C31" s="24" t="s">
        <v>102</v>
      </c>
      <c r="D31" s="24" t="s">
        <v>53</v>
      </c>
      <c r="E31" s="24" t="s">
        <v>107</v>
      </c>
    </row>
    <row r="32" spans="1:9" ht="12.75">
      <c r="A32" s="25">
        <v>0</v>
      </c>
      <c r="B32" s="26"/>
      <c r="C32" s="26"/>
      <c r="D32" s="26"/>
      <c r="E32" s="26">
        <f>D18</f>
        <v>105000</v>
      </c>
    </row>
    <row r="33" spans="1:6" ht="12.75">
      <c r="A33" s="25">
        <v>1</v>
      </c>
      <c r="B33" s="26">
        <f>$E$32*($B$27/((1-(1+$B$27)^-$B$28)))</f>
        <v>40964.220335409074</v>
      </c>
      <c r="C33" s="26">
        <f>E32*$B$27</f>
        <v>8714.9482147885501</v>
      </c>
      <c r="D33" s="26">
        <f>B33-C33</f>
        <v>32249.272120620524</v>
      </c>
      <c r="E33" s="26">
        <f>E32-D33</f>
        <v>72750.727879379469</v>
      </c>
      <c r="F33" t="s">
        <v>343</v>
      </c>
    </row>
    <row r="34" spans="1:6" ht="12.75">
      <c r="A34" s="25">
        <v>2</v>
      </c>
      <c r="B34" s="26">
        <f>$E$32*($B$27/((1-(1+$B$27)^-$B$28)))</f>
        <v>40964.220335409074</v>
      </c>
      <c r="C34" s="26">
        <f>E33*$B$27</f>
        <v>6038.2745338758641</v>
      </c>
      <c r="D34" s="26">
        <f>B34-C34</f>
        <v>34925.945801533213</v>
      </c>
      <c r="E34" s="26">
        <f>E33-D34</f>
        <v>37824.782077846256</v>
      </c>
    </row>
    <row r="35" spans="1:6" ht="12.75">
      <c r="A35" s="25">
        <v>3</v>
      </c>
      <c r="B35" s="26">
        <f>$E$32*($B$27/((1-(1+$B$27)^-$B$28)))</f>
        <v>40964.220335409074</v>
      </c>
      <c r="C35" s="26">
        <f>E34*$B$27</f>
        <v>3139.4382575627828</v>
      </c>
      <c r="D35" s="26">
        <f>B35-C35</f>
        <v>37824.782077846292</v>
      </c>
      <c r="E35" s="26">
        <f>E34-D35</f>
        <v>0</v>
      </c>
      <c r="F35" t="s">
        <v>344</v>
      </c>
    </row>
    <row r="38" spans="1:6" ht="14.25">
      <c r="A38" s="40" t="s">
        <v>140</v>
      </c>
      <c r="B38" s="41" t="e">
        <f>(#REF!*B46)+ (B45*B47*(1-B44))</f>
        <v>#REF!</v>
      </c>
    </row>
    <row r="39" spans="1:6" ht="15">
      <c r="A39" s="42" t="s">
        <v>141</v>
      </c>
      <c r="B39" s="43" t="s">
        <v>142</v>
      </c>
    </row>
    <row r="40" spans="1:6" ht="15">
      <c r="A40" s="44" t="s">
        <v>143</v>
      </c>
      <c r="B40" s="46"/>
    </row>
    <row r="41" spans="1:6" ht="15">
      <c r="A41" s="44" t="s">
        <v>144</v>
      </c>
      <c r="C41" s="4" t="s">
        <v>145</v>
      </c>
    </row>
    <row r="42" spans="1:6" ht="12.75">
      <c r="A42" s="47" t="s">
        <v>7</v>
      </c>
      <c r="B42" s="48"/>
    </row>
    <row r="43" spans="1:6" ht="12.75">
      <c r="A43" s="47" t="s">
        <v>146</v>
      </c>
      <c r="B43" s="49"/>
      <c r="C43" s="4" t="s">
        <v>147</v>
      </c>
    </row>
    <row r="44" spans="1:6" ht="12.75">
      <c r="A44" s="47" t="s">
        <v>148</v>
      </c>
      <c r="B44" s="49">
        <v>0.1</v>
      </c>
      <c r="C44" s="4" t="s">
        <v>149</v>
      </c>
    </row>
    <row r="45" spans="1:6" ht="12.75">
      <c r="A45" s="47" t="s">
        <v>150</v>
      </c>
      <c r="B45" s="48"/>
      <c r="C45" s="4" t="s">
        <v>151</v>
      </c>
    </row>
    <row r="46" spans="1:6" ht="12.75">
      <c r="A46" s="47" t="s">
        <v>152</v>
      </c>
      <c r="B46" s="49">
        <v>0.3</v>
      </c>
      <c r="C46" s="4" t="s">
        <v>153</v>
      </c>
      <c r="D46" s="4"/>
      <c r="E46" s="4"/>
    </row>
    <row r="47" spans="1:6" ht="12.75">
      <c r="A47" s="50" t="s">
        <v>154</v>
      </c>
      <c r="B47" s="51">
        <v>0.7</v>
      </c>
      <c r="C47" s="4" t="s">
        <v>155</v>
      </c>
      <c r="D47" s="4"/>
      <c r="E47" s="4"/>
    </row>
  </sheetData>
  <mergeCells count="1">
    <mergeCell ref="A30:E30"/>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N49"/>
  <sheetViews>
    <sheetView workbookViewId="0">
      <selection activeCell="J11" sqref="J11"/>
    </sheetView>
  </sheetViews>
  <sheetFormatPr defaultColWidth="14.42578125" defaultRowHeight="15.75" customHeight="1"/>
  <cols>
    <col min="1" max="1" width="9.140625" customWidth="1"/>
    <col min="3" max="3" width="37.28515625" customWidth="1"/>
    <col min="10" max="10" width="18.85546875" customWidth="1"/>
  </cols>
  <sheetData>
    <row r="1" spans="2:14" ht="12.75">
      <c r="C1" s="27" t="s">
        <v>27</v>
      </c>
      <c r="D1" s="27" t="s">
        <v>112</v>
      </c>
      <c r="E1" s="27" t="s">
        <v>113</v>
      </c>
      <c r="F1" s="27" t="s">
        <v>114</v>
      </c>
      <c r="G1" s="27" t="s">
        <v>115</v>
      </c>
      <c r="H1" s="27" t="s">
        <v>116</v>
      </c>
      <c r="I1" s="27" t="s">
        <v>117</v>
      </c>
    </row>
    <row r="2" spans="2:14" ht="12.75">
      <c r="C2" s="28" t="s">
        <v>118</v>
      </c>
      <c r="D2" s="29"/>
      <c r="E2" s="29"/>
      <c r="F2" s="29"/>
      <c r="G2" s="29"/>
      <c r="H2" s="29"/>
      <c r="I2" s="29"/>
    </row>
    <row r="3" spans="2:14" ht="12.75">
      <c r="C3" s="25" t="s">
        <v>119</v>
      </c>
      <c r="D3" s="26"/>
      <c r="E3" s="26">
        <v>30000</v>
      </c>
      <c r="F3" s="26">
        <v>30000</v>
      </c>
      <c r="G3" s="26">
        <v>30000</v>
      </c>
      <c r="H3" s="26">
        <v>30000</v>
      </c>
      <c r="I3" s="26">
        <v>30000</v>
      </c>
      <c r="K3" s="251">
        <v>3000000</v>
      </c>
      <c r="L3" s="209">
        <f>K3*0.3</f>
        <v>900000</v>
      </c>
      <c r="M3" s="209">
        <f>K3*0.7</f>
        <v>2100000</v>
      </c>
    </row>
    <row r="4" spans="2:14" ht="12.75">
      <c r="C4" s="25" t="s">
        <v>120</v>
      </c>
      <c r="D4" s="26"/>
      <c r="E4" s="26"/>
      <c r="F4" s="26"/>
      <c r="G4" s="26"/>
      <c r="H4" s="26">
        <v>20000</v>
      </c>
      <c r="I4" s="26"/>
    </row>
    <row r="5" spans="2:14" ht="12.75">
      <c r="C5" s="28" t="s">
        <v>121</v>
      </c>
      <c r="D5" s="29"/>
      <c r="E5" s="29"/>
      <c r="F5" s="29"/>
      <c r="G5" s="29"/>
      <c r="H5" s="29"/>
      <c r="I5" s="29"/>
    </row>
    <row r="6" spans="2:14" ht="12.75">
      <c r="C6" s="25" t="s">
        <v>122</v>
      </c>
      <c r="D6" s="26"/>
      <c r="E6" s="26">
        <f>-C35</f>
        <v>-5235.6533720648413</v>
      </c>
      <c r="F6" s="26">
        <f>-C36</f>
        <v>-2748.0680317838332</v>
      </c>
      <c r="G6" s="26"/>
      <c r="H6" s="26"/>
      <c r="I6" s="26"/>
    </row>
    <row r="7" spans="2:14" ht="12.75">
      <c r="C7" s="25" t="s">
        <v>123</v>
      </c>
      <c r="D7" s="26"/>
      <c r="E7" s="26"/>
      <c r="F7" s="26"/>
      <c r="G7" s="26"/>
      <c r="H7" s="26"/>
      <c r="I7" s="26"/>
    </row>
    <row r="8" spans="2:14" ht="12.75">
      <c r="C8" s="25" t="s">
        <v>124</v>
      </c>
      <c r="D8" s="26"/>
      <c r="E8" s="26"/>
      <c r="F8" s="26"/>
      <c r="G8" s="26"/>
      <c r="H8" s="26"/>
      <c r="I8" s="26"/>
    </row>
    <row r="9" spans="2:14" ht="12.75">
      <c r="C9" s="28" t="s">
        <v>125</v>
      </c>
      <c r="D9" s="29"/>
      <c r="E9" s="29"/>
      <c r="F9" s="29"/>
      <c r="G9" s="29"/>
      <c r="H9" s="29"/>
      <c r="I9" s="29"/>
    </row>
    <row r="10" spans="2:14" ht="12.75">
      <c r="C10" s="25" t="s">
        <v>126</v>
      </c>
      <c r="D10" s="26"/>
      <c r="E10" s="26">
        <f>$D$20/5</f>
        <v>20000</v>
      </c>
      <c r="F10" s="26">
        <f>$D$20/5</f>
        <v>20000</v>
      </c>
      <c r="G10" s="26">
        <f>$D$20/5</f>
        <v>20000</v>
      </c>
      <c r="H10" s="26">
        <f>$D$20/5</f>
        <v>20000</v>
      </c>
      <c r="I10" s="211">
        <f>$D$20/5</f>
        <v>20000</v>
      </c>
      <c r="J10" s="5"/>
      <c r="K10" s="5"/>
      <c r="L10" s="5"/>
      <c r="M10" s="5"/>
      <c r="N10" s="5"/>
    </row>
    <row r="11" spans="2:14" ht="12.75">
      <c r="C11" s="25" t="s">
        <v>127</v>
      </c>
      <c r="D11" s="26"/>
      <c r="E11" s="26">
        <f>$D$21/5</f>
        <v>0</v>
      </c>
      <c r="F11" s="26">
        <f>$D$21/5</f>
        <v>0</v>
      </c>
      <c r="G11" s="26">
        <f>$D$21/5</f>
        <v>0</v>
      </c>
      <c r="H11" s="26">
        <f>$D$21/5</f>
        <v>0</v>
      </c>
      <c r="I11" s="30"/>
      <c r="J11" s="4" t="s">
        <v>128</v>
      </c>
    </row>
    <row r="12" spans="2:14" ht="12.75">
      <c r="C12" s="25" t="s">
        <v>129</v>
      </c>
      <c r="D12" s="26"/>
      <c r="E12" s="26"/>
      <c r="F12" s="26"/>
      <c r="G12" s="26"/>
      <c r="H12" s="26">
        <f>$G21/5</f>
        <v>-4000</v>
      </c>
      <c r="I12" s="26">
        <f>$G21/5</f>
        <v>-4000</v>
      </c>
    </row>
    <row r="13" spans="2:14" ht="12.75">
      <c r="C13" s="25" t="s">
        <v>70</v>
      </c>
      <c r="D13" s="26"/>
      <c r="E13" s="26"/>
      <c r="F13" s="26"/>
      <c r="G13" s="26"/>
      <c r="H13" s="30">
        <f>D21-E11-F11-G11-H11-I11</f>
        <v>0</v>
      </c>
      <c r="I13" s="26">
        <f>G21-H12-I12</f>
        <v>-12000</v>
      </c>
      <c r="J13" s="249"/>
    </row>
    <row r="14" spans="2:14" ht="14.25">
      <c r="C14" s="31" t="s">
        <v>130</v>
      </c>
      <c r="D14" s="32"/>
      <c r="E14" s="32">
        <f>SUM(E2:E13)</f>
        <v>44764.346627935156</v>
      </c>
      <c r="F14" s="32">
        <f>SUM(F2:F13)</f>
        <v>47251.931968216166</v>
      </c>
      <c r="G14" s="32">
        <f>SUM(G2:G13)</f>
        <v>50000</v>
      </c>
      <c r="H14" s="32">
        <f>SUM(H2:H13)</f>
        <v>66000</v>
      </c>
      <c r="I14" s="32">
        <f>SUM(I2:I13)</f>
        <v>34000</v>
      </c>
    </row>
    <row r="15" spans="2:14" ht="12.75">
      <c r="B15" s="3"/>
      <c r="C15" s="33" t="s">
        <v>131</v>
      </c>
      <c r="D15" s="26"/>
      <c r="E15" s="26">
        <f>E14*$B$46</f>
        <v>4476.4346627935156</v>
      </c>
      <c r="F15" s="26">
        <f>F14*$B$46</f>
        <v>4725.1931968216168</v>
      </c>
      <c r="G15" s="26">
        <f>G14*$B$46</f>
        <v>5000</v>
      </c>
      <c r="H15" s="26">
        <f>H14*$B$46</f>
        <v>6600</v>
      </c>
      <c r="I15" s="26">
        <f>I14*$B$46</f>
        <v>3400</v>
      </c>
    </row>
    <row r="16" spans="2:14" ht="28.5">
      <c r="C16" s="34" t="s">
        <v>132</v>
      </c>
      <c r="D16" s="35"/>
      <c r="E16" s="35">
        <f>E14-E15</f>
        <v>40287.91196514164</v>
      </c>
      <c r="F16" s="35">
        <f>F14-F15</f>
        <v>42526.73877139455</v>
      </c>
      <c r="G16" s="35">
        <f>G14-G15</f>
        <v>45000</v>
      </c>
      <c r="H16" s="35">
        <f>H14-H15</f>
        <v>59400</v>
      </c>
      <c r="I16" s="35">
        <f>I14-I15</f>
        <v>30600</v>
      </c>
    </row>
    <row r="17" spans="1:10" ht="12.75">
      <c r="C17" s="33" t="s">
        <v>133</v>
      </c>
      <c r="D17" s="26"/>
      <c r="E17" s="26">
        <f>-SUM(E10:E13)</f>
        <v>-20000</v>
      </c>
      <c r="F17" s="26">
        <f>-SUM(F10:F13)</f>
        <v>-20000</v>
      </c>
      <c r="G17" s="26">
        <f>-SUM(G10:G13)</f>
        <v>-20000</v>
      </c>
      <c r="H17" s="26">
        <f>-SUM(H10:H13)</f>
        <v>-16000</v>
      </c>
      <c r="I17" s="26">
        <f>-SUM(I10:I13)</f>
        <v>-4000</v>
      </c>
    </row>
    <row r="18" spans="1:10" ht="12.75">
      <c r="C18" s="25" t="s">
        <v>134</v>
      </c>
      <c r="D18" s="26"/>
      <c r="E18" s="26">
        <f>-D35</f>
        <v>-23756.207329859502</v>
      </c>
      <c r="F18" s="26">
        <f>-D36</f>
        <v>-26243.792670140509</v>
      </c>
      <c r="G18" s="26"/>
      <c r="H18" s="26"/>
      <c r="I18" s="26"/>
    </row>
    <row r="19" spans="1:10" ht="12.75">
      <c r="C19" s="25" t="s">
        <v>135</v>
      </c>
      <c r="D19" s="26">
        <v>50000</v>
      </c>
      <c r="E19" s="26"/>
      <c r="F19" s="26"/>
      <c r="G19" s="26"/>
      <c r="H19" s="26"/>
      <c r="I19" s="26"/>
    </row>
    <row r="20" spans="1:10" ht="12.75">
      <c r="C20" s="25" t="s">
        <v>136</v>
      </c>
      <c r="D20" s="26">
        <v>100000</v>
      </c>
      <c r="E20" s="26"/>
      <c r="F20" s="26"/>
      <c r="G20" s="26"/>
      <c r="H20" s="26"/>
      <c r="I20" s="26"/>
      <c r="J20" s="36"/>
    </row>
    <row r="21" spans="1:10" ht="12.75">
      <c r="C21" s="25" t="s">
        <v>137</v>
      </c>
      <c r="D21" s="26">
        <v>0</v>
      </c>
      <c r="E21" s="26"/>
      <c r="F21" s="26"/>
      <c r="G21" s="26">
        <v>-20000</v>
      </c>
      <c r="H21" s="26"/>
      <c r="I21" s="26"/>
      <c r="J21" s="36" t="s">
        <v>138</v>
      </c>
    </row>
    <row r="22" spans="1:10" ht="14.25">
      <c r="C22" s="37" t="s">
        <v>139</v>
      </c>
      <c r="D22" s="35">
        <f t="shared" ref="D22:I22" si="0">SUM(D16:D21)</f>
        <v>150000</v>
      </c>
      <c r="E22" s="35">
        <f t="shared" si="0"/>
        <v>-3468.295364717862</v>
      </c>
      <c r="F22" s="35">
        <f t="shared" si="0"/>
        <v>-3717.0538987459586</v>
      </c>
      <c r="G22" s="35">
        <f t="shared" si="0"/>
        <v>5000</v>
      </c>
      <c r="H22" s="35">
        <f t="shared" si="0"/>
        <v>43400</v>
      </c>
      <c r="I22" s="35">
        <f t="shared" si="0"/>
        <v>26600</v>
      </c>
      <c r="J22" s="38">
        <f t="array" ref="J22">D22+NPV(B40,E22:I22)</f>
        <v>201871.88730153596</v>
      </c>
    </row>
    <row r="23" spans="1:10" ht="12.75">
      <c r="C23" s="3">
        <v>0.06</v>
      </c>
      <c r="E23" s="5">
        <f>E22/((1+$C$23)^1)</f>
        <v>-3271.9767591677942</v>
      </c>
      <c r="F23" s="5">
        <f>F22/((1+$C$23)^2)</f>
        <v>-3308.1647372249536</v>
      </c>
      <c r="G23" s="5">
        <f>G22/((1+$C$23)^3)</f>
        <v>4198.096415161508</v>
      </c>
      <c r="H23" s="5">
        <f>H22/((1+$C$23)^4)</f>
        <v>34376.864984530082</v>
      </c>
      <c r="I23" s="5">
        <f>I22/((1+$C$23)^5)</f>
        <v>19877.067398237112</v>
      </c>
    </row>
    <row r="24" spans="1:10" ht="12.75">
      <c r="E24" s="5">
        <f>D22+SUM(E23:I23)</f>
        <v>201871.88730153596</v>
      </c>
    </row>
    <row r="26" spans="1:10" ht="12.75">
      <c r="A26" s="21" t="s">
        <v>0</v>
      </c>
      <c r="B26" s="22">
        <v>0.1</v>
      </c>
    </row>
    <row r="27" spans="1:10" ht="12.75">
      <c r="A27" s="21" t="s">
        <v>104</v>
      </c>
      <c r="B27" s="23">
        <v>12</v>
      </c>
    </row>
    <row r="28" spans="1:10" ht="12.75">
      <c r="A28" s="21"/>
      <c r="B28" s="23">
        <v>12</v>
      </c>
    </row>
    <row r="29" spans="1:10" ht="12.75">
      <c r="A29" s="21" t="s">
        <v>3</v>
      </c>
      <c r="B29" s="39">
        <f>((1+B26/B27)^B28)-1</f>
        <v>0.10471306744129683</v>
      </c>
    </row>
    <row r="30" spans="1:10" ht="12.75">
      <c r="A30" s="21" t="s">
        <v>104</v>
      </c>
      <c r="B30" s="23">
        <v>2</v>
      </c>
    </row>
    <row r="32" spans="1:10" ht="12.75">
      <c r="A32" s="1615" t="s">
        <v>103</v>
      </c>
      <c r="B32" s="1613"/>
      <c r="C32" s="1613"/>
      <c r="D32" s="1613"/>
      <c r="E32" s="1614"/>
    </row>
    <row r="33" spans="1:9" ht="12.75">
      <c r="A33" s="24" t="s">
        <v>105</v>
      </c>
      <c r="B33" s="24" t="s">
        <v>106</v>
      </c>
      <c r="C33" s="24" t="s">
        <v>102</v>
      </c>
      <c r="D33" s="24" t="s">
        <v>134</v>
      </c>
      <c r="E33" s="24" t="s">
        <v>107</v>
      </c>
      <c r="I33" t="s">
        <v>316</v>
      </c>
    </row>
    <row r="34" spans="1:9" ht="12.75">
      <c r="A34" s="25">
        <v>0</v>
      </c>
      <c r="B34" s="26"/>
      <c r="C34" s="26"/>
      <c r="D34" s="26"/>
      <c r="E34" s="26">
        <v>50000</v>
      </c>
    </row>
    <row r="35" spans="1:9" ht="12.75">
      <c r="A35" s="25">
        <v>1</v>
      </c>
      <c r="B35" s="26">
        <f>$E$34*($B$29/((1-(1+$B$29)^-$B$30)))</f>
        <v>28991.860701924343</v>
      </c>
      <c r="C35" s="26">
        <f>E34*$B$29</f>
        <v>5235.6533720648413</v>
      </c>
      <c r="D35" s="26">
        <f>B35-C35</f>
        <v>23756.207329859502</v>
      </c>
      <c r="E35" s="26">
        <f>E34-D35</f>
        <v>26243.792670140498</v>
      </c>
    </row>
    <row r="36" spans="1:9" ht="12.75">
      <c r="A36" s="25">
        <v>2</v>
      </c>
      <c r="B36" s="26">
        <f>$E$34*($B$29/((1-(1+$B$29)^-$B$30)))</f>
        <v>28991.860701924343</v>
      </c>
      <c r="C36" s="26">
        <f>E35*$B$29</f>
        <v>2748.0680317838332</v>
      </c>
      <c r="D36" s="26">
        <f>B36-C36</f>
        <v>26243.792670140509</v>
      </c>
      <c r="E36" s="26">
        <f>E35-D36</f>
        <v>0</v>
      </c>
    </row>
    <row r="40" spans="1:9" ht="14.25">
      <c r="A40" s="40" t="s">
        <v>140</v>
      </c>
      <c r="B40" s="41">
        <f>(B42*B48)+ (B47*B49*(1-B46))</f>
        <v>0.06</v>
      </c>
    </row>
    <row r="41" spans="1:9" ht="15.75" customHeight="1">
      <c r="A41" s="42" t="s">
        <v>141</v>
      </c>
      <c r="B41" s="43" t="s">
        <v>142</v>
      </c>
    </row>
    <row r="42" spans="1:9" ht="15.75" customHeight="1">
      <c r="A42" s="44" t="s">
        <v>143</v>
      </c>
      <c r="B42" s="45">
        <f>B43+B44*(B45-B43)</f>
        <v>0.06</v>
      </c>
    </row>
    <row r="43" spans="1:9" ht="15.75" customHeight="1">
      <c r="A43" s="44" t="s">
        <v>144</v>
      </c>
      <c r="B43" s="46">
        <v>0.04</v>
      </c>
      <c r="C43" s="4" t="s">
        <v>145</v>
      </c>
    </row>
    <row r="44" spans="1:9" ht="12.75">
      <c r="A44" s="47" t="s">
        <v>7</v>
      </c>
      <c r="B44" s="48">
        <v>1</v>
      </c>
    </row>
    <row r="45" spans="1:9" ht="12.75">
      <c r="A45" s="47" t="s">
        <v>146</v>
      </c>
      <c r="B45" s="49">
        <v>0.06</v>
      </c>
      <c r="C45" s="4" t="s">
        <v>147</v>
      </c>
    </row>
    <row r="46" spans="1:9" ht="12.75">
      <c r="A46" s="47" t="s">
        <v>148</v>
      </c>
      <c r="B46" s="49">
        <v>0.1</v>
      </c>
      <c r="C46" s="4" t="s">
        <v>149</v>
      </c>
    </row>
    <row r="47" spans="1:9" ht="12.75">
      <c r="A47" s="47" t="s">
        <v>150</v>
      </c>
      <c r="B47" s="48">
        <v>0</v>
      </c>
      <c r="C47" s="4" t="s">
        <v>151</v>
      </c>
    </row>
    <row r="48" spans="1:9" ht="12.75">
      <c r="A48" s="47" t="s">
        <v>152</v>
      </c>
      <c r="B48" s="49">
        <v>1</v>
      </c>
      <c r="C48" s="4" t="s">
        <v>153</v>
      </c>
      <c r="D48" s="4"/>
      <c r="E48" s="4"/>
    </row>
    <row r="49" spans="1:5" ht="12.75">
      <c r="A49" s="50" t="s">
        <v>154</v>
      </c>
      <c r="B49" s="51">
        <v>0</v>
      </c>
      <c r="C49" s="4" t="s">
        <v>155</v>
      </c>
      <c r="D49" s="4"/>
      <c r="E49" s="4"/>
    </row>
  </sheetData>
  <mergeCells count="1">
    <mergeCell ref="A32:E32"/>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372D-D22F-4F19-917F-79405948B621}">
  <dimension ref="A1:G22"/>
  <sheetViews>
    <sheetView workbookViewId="0">
      <selection activeCell="C21" sqref="C21"/>
    </sheetView>
  </sheetViews>
  <sheetFormatPr defaultRowHeight="12.75"/>
  <cols>
    <col min="3" max="3" width="19.7109375" customWidth="1"/>
    <col min="4" max="4" width="21.140625" customWidth="1"/>
    <col min="5" max="5" width="11.28515625" bestFit="1" customWidth="1"/>
    <col min="7" max="7" width="11.28515625" bestFit="1" customWidth="1"/>
  </cols>
  <sheetData>
    <row r="1" spans="1:7">
      <c r="A1" t="s">
        <v>326</v>
      </c>
    </row>
    <row r="4" spans="1:7">
      <c r="D4" s="257" t="s">
        <v>327</v>
      </c>
    </row>
    <row r="5" spans="1:7">
      <c r="A5">
        <f>(1+0.1/12)^12</f>
        <v>1.1047130674412968</v>
      </c>
      <c r="B5" s="256">
        <f>A5-1</f>
        <v>0.10471306744129683</v>
      </c>
    </row>
    <row r="7" spans="1:7">
      <c r="G7" s="254">
        <v>50000</v>
      </c>
    </row>
    <row r="8" spans="1:7">
      <c r="C8" t="s">
        <v>322</v>
      </c>
      <c r="D8" t="s">
        <v>294</v>
      </c>
      <c r="E8" t="s">
        <v>299</v>
      </c>
    </row>
    <row r="9" spans="1:7">
      <c r="C9" s="254">
        <f>B5*G7/(1-(1+B5)^-2)</f>
        <v>28991.860701924343</v>
      </c>
      <c r="D9" s="254">
        <f>G7*B5</f>
        <v>5235.6533720648413</v>
      </c>
      <c r="E9" s="255">
        <f>C9-D9</f>
        <v>23756.207329859502</v>
      </c>
      <c r="G9" s="255">
        <f>G7-E9</f>
        <v>26243.792670140498</v>
      </c>
    </row>
    <row r="10" spans="1:7">
      <c r="C10" s="254">
        <f>B5*G7/(1-(1+B5)^-2)</f>
        <v>28991.860701924343</v>
      </c>
      <c r="D10" s="255">
        <f>G9*B5</f>
        <v>2748.0680317838332</v>
      </c>
      <c r="E10" s="255">
        <f>C10-D10</f>
        <v>26243.792670140509</v>
      </c>
      <c r="G10" s="255">
        <f>E10-G9</f>
        <v>0</v>
      </c>
    </row>
    <row r="14" spans="1:7">
      <c r="C14" t="s">
        <v>328</v>
      </c>
    </row>
    <row r="15" spans="1:7">
      <c r="C15" t="s">
        <v>329</v>
      </c>
    </row>
    <row r="16" spans="1:7">
      <c r="C16" t="s">
        <v>330</v>
      </c>
    </row>
    <row r="18" spans="3:6">
      <c r="C18" t="s">
        <v>331</v>
      </c>
    </row>
    <row r="19" spans="3:6">
      <c r="C19">
        <f>(1+0.1/12)^12</f>
        <v>1.1047130674412968</v>
      </c>
      <c r="D19">
        <f>C19-1</f>
        <v>0.10471306744129683</v>
      </c>
    </row>
    <row r="20" spans="3:6">
      <c r="F20">
        <v>50000</v>
      </c>
    </row>
    <row r="21" spans="3:6">
      <c r="C21">
        <f>F20*D19/(1-(1+D19)^-2)</f>
        <v>28991.860701924343</v>
      </c>
      <c r="D21">
        <f>F20*D19</f>
        <v>5235.6533720648413</v>
      </c>
      <c r="E21">
        <f>C21-D21</f>
        <v>23756.207329859502</v>
      </c>
      <c r="F21">
        <f>F20-E21</f>
        <v>26243.792670140498</v>
      </c>
    </row>
    <row r="22" spans="3:6">
      <c r="C22">
        <f>F20*D19/(1-(1+D19)^-2)</f>
        <v>28991.860701924343</v>
      </c>
      <c r="D22">
        <f>F21*D19</f>
        <v>2748.0680317838332</v>
      </c>
      <c r="E22">
        <f>C22-D22</f>
        <v>26243.792670140509</v>
      </c>
      <c r="F22">
        <f>F21-E22</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ABD5-286A-4B57-9314-9C7EFC418C55}">
  <sheetPr>
    <outlinePr summaryBelow="0" summaryRight="0"/>
  </sheetPr>
  <dimension ref="A1:O54"/>
  <sheetViews>
    <sheetView workbookViewId="0">
      <selection activeCell="H28" sqref="H28"/>
    </sheetView>
  </sheetViews>
  <sheetFormatPr defaultColWidth="14.42578125" defaultRowHeight="15.75" customHeight="1"/>
  <cols>
    <col min="1" max="1" width="9.140625" customWidth="1"/>
    <col min="3" max="3" width="37.28515625" customWidth="1"/>
    <col min="10" max="10" width="18.85546875" customWidth="1"/>
    <col min="13" max="13" width="22" customWidth="1"/>
  </cols>
  <sheetData>
    <row r="1" spans="2:14" ht="12.75">
      <c r="C1" s="27" t="s">
        <v>27</v>
      </c>
      <c r="D1" s="27" t="s">
        <v>112</v>
      </c>
      <c r="E1" s="27" t="s">
        <v>113</v>
      </c>
      <c r="F1" s="27" t="s">
        <v>114</v>
      </c>
      <c r="G1" s="27" t="s">
        <v>115</v>
      </c>
      <c r="H1" s="27" t="s">
        <v>116</v>
      </c>
      <c r="I1" s="27" t="s">
        <v>117</v>
      </c>
    </row>
    <row r="2" spans="2:14" ht="12.75">
      <c r="C2" s="28" t="s">
        <v>118</v>
      </c>
      <c r="D2" s="29"/>
      <c r="E2" s="29"/>
      <c r="F2" s="29"/>
      <c r="G2" s="29"/>
      <c r="H2" s="29"/>
      <c r="I2" s="29"/>
    </row>
    <row r="3" spans="2:14" ht="12.75">
      <c r="C3" s="25" t="s">
        <v>119</v>
      </c>
      <c r="D3" s="26"/>
      <c r="E3" s="26">
        <v>30000</v>
      </c>
      <c r="F3" s="26">
        <v>30000</v>
      </c>
      <c r="G3" s="26">
        <v>30000</v>
      </c>
      <c r="H3" s="26">
        <v>30000</v>
      </c>
      <c r="I3" s="26">
        <v>30000</v>
      </c>
      <c r="K3" s="251"/>
      <c r="L3" s="209"/>
      <c r="M3" s="209"/>
    </row>
    <row r="4" spans="2:14" ht="12.75">
      <c r="C4" s="25" t="s">
        <v>332</v>
      </c>
      <c r="D4" s="26"/>
      <c r="E4" s="26"/>
      <c r="F4" s="26"/>
      <c r="G4" s="26">
        <v>20000</v>
      </c>
      <c r="I4" s="26"/>
    </row>
    <row r="5" spans="2:14" ht="12.75">
      <c r="C5" s="28" t="s">
        <v>121</v>
      </c>
      <c r="D5" s="29"/>
      <c r="E5" s="29"/>
      <c r="F5" s="29"/>
      <c r="G5" s="29"/>
      <c r="H5" s="29"/>
      <c r="I5" s="29"/>
    </row>
    <row r="6" spans="2:14" ht="12.75">
      <c r="C6" s="25" t="s">
        <v>122</v>
      </c>
      <c r="D6" s="26"/>
      <c r="E6" s="26"/>
      <c r="F6" s="26"/>
      <c r="G6" s="26"/>
      <c r="H6" s="26"/>
      <c r="I6" s="26"/>
    </row>
    <row r="7" spans="2:14" ht="12.75">
      <c r="C7" s="25" t="s">
        <v>123</v>
      </c>
      <c r="D7" s="26"/>
      <c r="E7" s="26"/>
      <c r="F7" s="26"/>
      <c r="G7" s="26"/>
      <c r="H7" s="26"/>
      <c r="I7" s="26"/>
    </row>
    <row r="8" spans="2:14" ht="12.75">
      <c r="C8" s="25" t="s">
        <v>124</v>
      </c>
      <c r="D8" s="26"/>
      <c r="E8" s="26"/>
      <c r="F8" s="26"/>
      <c r="G8" s="26"/>
      <c r="H8" s="26"/>
      <c r="I8" s="26"/>
    </row>
    <row r="9" spans="2:14" ht="12.75">
      <c r="C9" s="28" t="s">
        <v>125</v>
      </c>
      <c r="D9" s="29"/>
      <c r="E9" s="29"/>
      <c r="F9" s="29"/>
      <c r="G9" s="29"/>
      <c r="H9" s="29"/>
      <c r="I9" s="29"/>
    </row>
    <row r="10" spans="2:14" ht="12.75">
      <c r="C10" s="25" t="s">
        <v>126</v>
      </c>
      <c r="D10" s="26"/>
      <c r="E10" s="26">
        <f>$D$21/5</f>
        <v>-20000</v>
      </c>
      <c r="F10" s="26">
        <f>$D$21/5</f>
        <v>-20000</v>
      </c>
      <c r="G10" s="26">
        <f>$D$21/5</f>
        <v>-20000</v>
      </c>
      <c r="H10" s="26">
        <v>-10000</v>
      </c>
      <c r="I10" s="211">
        <v>-10000</v>
      </c>
      <c r="J10" s="5"/>
      <c r="K10" s="5"/>
      <c r="L10" s="5"/>
      <c r="M10" s="5"/>
      <c r="N10" s="5"/>
    </row>
    <row r="11" spans="2:14" ht="12.75">
      <c r="C11" s="25" t="s">
        <v>127</v>
      </c>
      <c r="D11" s="26"/>
      <c r="E11" s="26">
        <f>$D$22/5</f>
        <v>0</v>
      </c>
      <c r="F11" s="26">
        <f>$D$22/5</f>
        <v>0</v>
      </c>
      <c r="G11" s="26"/>
      <c r="H11" s="26">
        <v>-4000</v>
      </c>
      <c r="I11" s="26">
        <v>-4000</v>
      </c>
      <c r="J11" s="4"/>
    </row>
    <row r="12" spans="2:14" ht="12.75">
      <c r="C12" s="25" t="s">
        <v>129</v>
      </c>
      <c r="D12" s="26"/>
      <c r="E12" s="26"/>
      <c r="F12" s="26"/>
      <c r="G12" s="26"/>
      <c r="H12" s="26">
        <f>$G22/5</f>
        <v>0</v>
      </c>
      <c r="I12" s="26"/>
    </row>
    <row r="13" spans="2:14" ht="12.75">
      <c r="C13" s="25" t="s">
        <v>333</v>
      </c>
      <c r="D13" s="26"/>
      <c r="E13" s="26"/>
      <c r="F13" s="26"/>
      <c r="G13" s="26">
        <v>-20000</v>
      </c>
      <c r="H13" s="26"/>
      <c r="I13" s="26"/>
    </row>
    <row r="14" spans="2:14" ht="12.75">
      <c r="C14" s="25" t="s">
        <v>334</v>
      </c>
      <c r="D14" s="26"/>
      <c r="E14" s="26"/>
      <c r="F14" s="26"/>
      <c r="G14" s="26"/>
      <c r="H14" s="26">
        <v>0</v>
      </c>
      <c r="I14" s="26">
        <v>-12000</v>
      </c>
      <c r="J14" s="249"/>
    </row>
    <row r="15" spans="2:14" ht="14.25">
      <c r="C15" s="31" t="s">
        <v>130</v>
      </c>
      <c r="D15" s="32"/>
      <c r="E15" s="32">
        <f>SUM(E2:E14)</f>
        <v>10000</v>
      </c>
      <c r="F15" s="32">
        <f>SUM(F2:F14)</f>
        <v>10000</v>
      </c>
      <c r="G15" s="32">
        <f>SUM(G2:G14)</f>
        <v>10000</v>
      </c>
      <c r="H15" s="32">
        <f>SUM(H2:H14)</f>
        <v>16000</v>
      </c>
      <c r="I15" s="32">
        <f>SUM(I2:I14)</f>
        <v>4000</v>
      </c>
    </row>
    <row r="16" spans="2:14" ht="12.75">
      <c r="B16" s="3"/>
      <c r="C16" s="33" t="s">
        <v>131</v>
      </c>
      <c r="D16" s="26"/>
      <c r="E16" s="26">
        <f>E15*$B$47</f>
        <v>1000</v>
      </c>
      <c r="F16" s="26">
        <f>F15*$B$47</f>
        <v>1000</v>
      </c>
      <c r="G16" s="26">
        <f>G15*$B$47</f>
        <v>1000</v>
      </c>
      <c r="H16" s="26">
        <f>H15*$B$47</f>
        <v>1600</v>
      </c>
      <c r="I16" s="26">
        <f>I15*$B$47</f>
        <v>400</v>
      </c>
    </row>
    <row r="17" spans="1:15" ht="28.5">
      <c r="C17" s="34" t="s">
        <v>132</v>
      </c>
      <c r="D17" s="35"/>
      <c r="E17" s="35">
        <f>E15-E16</f>
        <v>9000</v>
      </c>
      <c r="F17" s="35">
        <f>F15-F16</f>
        <v>9000</v>
      </c>
      <c r="G17" s="35">
        <f>G15-G16</f>
        <v>9000</v>
      </c>
      <c r="H17" s="35">
        <f>H15-H16</f>
        <v>14400</v>
      </c>
      <c r="I17" s="35">
        <f>I15-I16</f>
        <v>3600</v>
      </c>
    </row>
    <row r="18" spans="1:15" ht="12.75">
      <c r="C18" s="33" t="s">
        <v>133</v>
      </c>
      <c r="D18" s="26"/>
      <c r="E18" s="26">
        <f>-SUM(E10:E14)</f>
        <v>20000</v>
      </c>
      <c r="F18" s="26">
        <f>-SUM(F10:F14)</f>
        <v>20000</v>
      </c>
      <c r="G18" s="26">
        <f>-SUM(G10:G14)</f>
        <v>40000</v>
      </c>
      <c r="H18" s="26">
        <f>-SUM(H10:H14)</f>
        <v>14000</v>
      </c>
      <c r="I18" s="26">
        <f>-SUM(I10:I14)</f>
        <v>26000</v>
      </c>
    </row>
    <row r="19" spans="1:15" ht="12.75">
      <c r="C19" s="25" t="s">
        <v>134</v>
      </c>
      <c r="D19" s="26"/>
      <c r="E19" s="26"/>
      <c r="F19" s="26"/>
      <c r="G19" s="26"/>
      <c r="H19" s="26"/>
      <c r="I19" s="26"/>
    </row>
    <row r="20" spans="1:15" ht="12.75">
      <c r="C20" s="25" t="s">
        <v>135</v>
      </c>
      <c r="D20" s="26"/>
      <c r="E20" s="26"/>
      <c r="F20" s="26"/>
      <c r="G20" s="26"/>
      <c r="H20" s="26"/>
      <c r="I20" s="26"/>
    </row>
    <row r="21" spans="1:15" ht="12.75">
      <c r="C21" s="25" t="s">
        <v>136</v>
      </c>
      <c r="D21" s="26">
        <v>-100000</v>
      </c>
      <c r="E21" s="26"/>
      <c r="F21" s="26"/>
      <c r="G21" s="26">
        <f>D21*0.2</f>
        <v>-20000</v>
      </c>
      <c r="H21" s="26"/>
      <c r="I21" s="26"/>
      <c r="J21" s="36"/>
      <c r="M21" t="s">
        <v>336</v>
      </c>
      <c r="N21">
        <v>4.5</v>
      </c>
    </row>
    <row r="22" spans="1:15" ht="12.75">
      <c r="C22" s="25" t="s">
        <v>137</v>
      </c>
      <c r="D22" s="26">
        <v>0</v>
      </c>
      <c r="E22" s="26"/>
      <c r="F22" s="26"/>
      <c r="G22" s="26"/>
      <c r="H22" s="26"/>
      <c r="I22" s="26"/>
      <c r="J22" s="36" t="s">
        <v>138</v>
      </c>
      <c r="M22" t="s">
        <v>337</v>
      </c>
      <c r="N22">
        <v>100000</v>
      </c>
    </row>
    <row r="23" spans="1:15" ht="14.25">
      <c r="C23" s="37" t="s">
        <v>139</v>
      </c>
      <c r="D23" s="35">
        <f t="shared" ref="D23:I23" si="0">SUM(D17:D22)</f>
        <v>-100000</v>
      </c>
      <c r="E23" s="35">
        <f t="shared" si="0"/>
        <v>29000</v>
      </c>
      <c r="F23" s="35">
        <f t="shared" si="0"/>
        <v>29000</v>
      </c>
      <c r="G23" s="35">
        <f t="shared" si="0"/>
        <v>29000</v>
      </c>
      <c r="H23" s="35">
        <f t="shared" si="0"/>
        <v>28400</v>
      </c>
      <c r="I23" s="35">
        <f t="shared" si="0"/>
        <v>29600</v>
      </c>
      <c r="J23" s="38">
        <f t="array" ref="J23">D23+NPV(B41,E23:I23)</f>
        <v>22131.648487182509</v>
      </c>
      <c r="M23" t="s">
        <v>338</v>
      </c>
    </row>
    <row r="24" spans="1:15" ht="12.75">
      <c r="C24" s="3">
        <v>0.06</v>
      </c>
      <c r="E24" s="5">
        <f>E23/((1+$C$24)^1)</f>
        <v>27358.490566037734</v>
      </c>
      <c r="F24" s="5">
        <f>F23/((1+$C$24)^2)</f>
        <v>25809.896760412954</v>
      </c>
      <c r="G24" s="5">
        <f>G23/((1+$C$24)^3)</f>
        <v>24348.959207936747</v>
      </c>
      <c r="H24" s="5">
        <f>H23/((1+$C$24)^4)</f>
        <v>22495.460035959779</v>
      </c>
      <c r="I24" s="5">
        <f>I23/((1+$C$24)^5)</f>
        <v>22118.841916835285</v>
      </c>
      <c r="M24" t="s">
        <v>339</v>
      </c>
      <c r="N24" s="208">
        <v>0.04</v>
      </c>
    </row>
    <row r="25" spans="1:15" ht="25.5">
      <c r="E25" s="5">
        <f>D23+SUM(E24:I24)</f>
        <v>22131.648487182494</v>
      </c>
      <c r="M25" s="258" t="s">
        <v>341</v>
      </c>
      <c r="N25">
        <v>1</v>
      </c>
      <c r="O25" t="s">
        <v>7</v>
      </c>
    </row>
    <row r="26" spans="1:15" ht="15.75" customHeight="1">
      <c r="J26" t="s">
        <v>335</v>
      </c>
      <c r="M26" t="s">
        <v>340</v>
      </c>
      <c r="N26" s="208">
        <v>0.06</v>
      </c>
    </row>
    <row r="27" spans="1:15" ht="12.75">
      <c r="A27" s="21"/>
      <c r="B27" s="22"/>
    </row>
    <row r="28" spans="1:15" ht="12.75">
      <c r="A28" s="21"/>
      <c r="B28" s="23"/>
    </row>
    <row r="29" spans="1:15" ht="12.75">
      <c r="A29" s="21"/>
      <c r="B29" s="23"/>
    </row>
    <row r="30" spans="1:15" ht="12.75">
      <c r="A30" s="21"/>
      <c r="B30" s="39"/>
    </row>
    <row r="31" spans="1:15" ht="12.75">
      <c r="A31" s="21"/>
      <c r="B31" s="23"/>
    </row>
    <row r="33" spans="1:6" ht="12.75">
      <c r="A33" s="1615"/>
      <c r="B33" s="1613"/>
      <c r="C33" s="1613"/>
      <c r="D33" s="1613"/>
      <c r="E33" s="1614"/>
    </row>
    <row r="34" spans="1:6" ht="12.75">
      <c r="A34" s="24"/>
      <c r="B34" s="24"/>
      <c r="C34" s="24"/>
      <c r="D34" s="24"/>
      <c r="E34" s="24"/>
    </row>
    <row r="35" spans="1:6" ht="12.75">
      <c r="A35" s="25"/>
      <c r="B35" s="26"/>
      <c r="C35" s="26"/>
      <c r="D35" s="26"/>
      <c r="E35" s="26"/>
    </row>
    <row r="36" spans="1:6" ht="12.75">
      <c r="A36" s="25"/>
      <c r="B36" s="26"/>
      <c r="C36" s="26"/>
      <c r="D36" s="26"/>
      <c r="E36" s="26"/>
    </row>
    <row r="37" spans="1:6" ht="12.75">
      <c r="A37" s="25"/>
      <c r="B37" s="26"/>
      <c r="C37" s="26"/>
      <c r="D37" s="26"/>
      <c r="E37" s="26"/>
    </row>
    <row r="41" spans="1:6" ht="14.25">
      <c r="A41" s="40" t="s">
        <v>140</v>
      </c>
      <c r="B41" s="41">
        <f>(B43*B49)+ (B48*B50*(1-B47))</f>
        <v>0.06</v>
      </c>
      <c r="F41" t="s">
        <v>370</v>
      </c>
    </row>
    <row r="42" spans="1:6" ht="15.75" customHeight="1">
      <c r="A42" s="42" t="s">
        <v>141</v>
      </c>
      <c r="B42" s="43" t="s">
        <v>142</v>
      </c>
      <c r="F42" t="s">
        <v>371</v>
      </c>
    </row>
    <row r="43" spans="1:6" ht="15.75" customHeight="1">
      <c r="A43" s="44" t="s">
        <v>143</v>
      </c>
      <c r="B43" s="45">
        <f>B44+B45*(B46-B44)</f>
        <v>0.06</v>
      </c>
      <c r="F43" t="s">
        <v>372</v>
      </c>
    </row>
    <row r="44" spans="1:6" ht="15.75" customHeight="1">
      <c r="A44" s="44" t="s">
        <v>144</v>
      </c>
      <c r="B44" s="46">
        <v>0.04</v>
      </c>
      <c r="C44" s="4" t="s">
        <v>145</v>
      </c>
      <c r="F44" t="s">
        <v>373</v>
      </c>
    </row>
    <row r="45" spans="1:6" ht="12.75">
      <c r="A45" s="47" t="s">
        <v>7</v>
      </c>
      <c r="B45" s="48">
        <v>1</v>
      </c>
      <c r="F45" t="s">
        <v>374</v>
      </c>
    </row>
    <row r="46" spans="1:6" ht="12.75">
      <c r="A46" s="47" t="s">
        <v>146</v>
      </c>
      <c r="B46" s="49">
        <v>0.06</v>
      </c>
      <c r="C46" s="4" t="s">
        <v>147</v>
      </c>
    </row>
    <row r="47" spans="1:6" ht="12.75">
      <c r="A47" s="47" t="s">
        <v>148</v>
      </c>
      <c r="B47" s="49">
        <v>0.1</v>
      </c>
      <c r="C47" s="4" t="s">
        <v>149</v>
      </c>
    </row>
    <row r="48" spans="1:6" ht="12.75">
      <c r="A48" s="47" t="s">
        <v>150</v>
      </c>
      <c r="B48" s="48">
        <v>0</v>
      </c>
      <c r="C48" s="4" t="s">
        <v>151</v>
      </c>
      <c r="F48" t="s">
        <v>375</v>
      </c>
    </row>
    <row r="49" spans="1:6" ht="12.75">
      <c r="A49" s="47" t="s">
        <v>152</v>
      </c>
      <c r="B49" s="49">
        <v>1</v>
      </c>
      <c r="C49" s="4" t="s">
        <v>153</v>
      </c>
      <c r="D49" s="4"/>
      <c r="E49" s="4"/>
      <c r="F49" t="s">
        <v>376</v>
      </c>
    </row>
    <row r="50" spans="1:6" ht="13.5" thickBot="1">
      <c r="A50" s="50" t="s">
        <v>154</v>
      </c>
      <c r="B50" s="51">
        <v>0</v>
      </c>
      <c r="C50" s="4" t="s">
        <v>155</v>
      </c>
      <c r="D50" s="4"/>
      <c r="E50" s="4"/>
      <c r="F50" t="s">
        <v>377</v>
      </c>
    </row>
    <row r="51" spans="1:6" ht="15.75" customHeight="1">
      <c r="F51" t="s">
        <v>378</v>
      </c>
    </row>
    <row r="52" spans="1:6" ht="15.75" customHeight="1">
      <c r="F52" t="s">
        <v>379</v>
      </c>
    </row>
    <row r="53" spans="1:6" ht="15.75" customHeight="1">
      <c r="F53" t="s">
        <v>380</v>
      </c>
    </row>
    <row r="54" spans="1:6" ht="15.75" customHeight="1">
      <c r="F54" t="s">
        <v>381</v>
      </c>
    </row>
  </sheetData>
  <mergeCells count="1">
    <mergeCell ref="A33:E33"/>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4761D-F918-415E-8D44-4EF6F70EB429}">
  <sheetPr>
    <outlinePr summaryBelow="0" summaryRight="0"/>
  </sheetPr>
  <dimension ref="A1:P50"/>
  <sheetViews>
    <sheetView workbookViewId="0">
      <selection activeCell="B36" sqref="B36"/>
    </sheetView>
  </sheetViews>
  <sheetFormatPr defaultColWidth="14.42578125" defaultRowHeight="15.75" customHeight="1"/>
  <cols>
    <col min="1" max="1" width="9.140625" customWidth="1"/>
    <col min="3" max="3" width="37.28515625" customWidth="1"/>
    <col min="8" max="8" width="18.85546875" customWidth="1"/>
    <col min="11" max="11" width="22" customWidth="1"/>
  </cols>
  <sheetData>
    <row r="1" spans="2:12" ht="12.75">
      <c r="C1" s="27" t="s">
        <v>27</v>
      </c>
      <c r="D1" s="27" t="s">
        <v>112</v>
      </c>
      <c r="E1" s="27" t="s">
        <v>113</v>
      </c>
      <c r="F1" s="27" t="s">
        <v>114</v>
      </c>
      <c r="G1" s="27" t="s">
        <v>115</v>
      </c>
      <c r="I1" t="s">
        <v>342</v>
      </c>
    </row>
    <row r="2" spans="2:12" ht="12.75">
      <c r="C2" s="28" t="s">
        <v>118</v>
      </c>
      <c r="D2" s="29"/>
      <c r="E2" s="29"/>
      <c r="F2" s="29"/>
      <c r="G2" s="29"/>
    </row>
    <row r="3" spans="2:12" ht="12.75">
      <c r="C3" s="25" t="s">
        <v>119</v>
      </c>
      <c r="D3" s="26"/>
      <c r="E3" s="26"/>
      <c r="F3" s="26"/>
      <c r="G3" s="26"/>
      <c r="I3" s="251"/>
      <c r="J3" s="209"/>
      <c r="K3" s="209"/>
    </row>
    <row r="4" spans="2:12" ht="12.75">
      <c r="C4" s="25" t="s">
        <v>332</v>
      </c>
      <c r="D4" s="26"/>
      <c r="E4" s="26"/>
      <c r="F4" s="26"/>
      <c r="G4" s="26"/>
    </row>
    <row r="5" spans="2:12" ht="12.75">
      <c r="C5" s="28" t="s">
        <v>121</v>
      </c>
      <c r="D5" s="29"/>
      <c r="E5" s="29"/>
      <c r="F5" s="29"/>
      <c r="G5" s="29"/>
    </row>
    <row r="6" spans="2:12" ht="12.75">
      <c r="C6" s="25" t="s">
        <v>122</v>
      </c>
      <c r="D6" s="26"/>
      <c r="E6" s="26">
        <f>-C36</f>
        <v>-8685.0278216270617</v>
      </c>
      <c r="F6" s="26">
        <f>-C37</f>
        <v>-6016.804499376899</v>
      </c>
      <c r="G6" s="26">
        <f>-C38</f>
        <v>-3127.8802839071463</v>
      </c>
    </row>
    <row r="7" spans="2:12" ht="12.75">
      <c r="C7" s="25" t="s">
        <v>123</v>
      </c>
      <c r="D7" s="26"/>
      <c r="E7" s="26">
        <f>-3000-250000-200000-100000</f>
        <v>-553000</v>
      </c>
      <c r="F7" s="26">
        <f>-3000-250000-200000-100000</f>
        <v>-553000</v>
      </c>
      <c r="G7" s="26">
        <f>-3000-250000-200000-100000</f>
        <v>-553000</v>
      </c>
    </row>
    <row r="8" spans="2:12" ht="12.75">
      <c r="C8" s="25" t="s">
        <v>124</v>
      </c>
      <c r="D8" s="26"/>
      <c r="E8" s="26"/>
      <c r="F8" s="26"/>
      <c r="G8" s="26"/>
    </row>
    <row r="9" spans="2:12" ht="12.75">
      <c r="C9" s="28" t="s">
        <v>125</v>
      </c>
      <c r="D9" s="29"/>
      <c r="E9" s="29"/>
      <c r="F9" s="29"/>
      <c r="G9" s="29"/>
    </row>
    <row r="10" spans="2:12" ht="12.75">
      <c r="C10" s="25" t="s">
        <v>126</v>
      </c>
      <c r="D10" s="26"/>
      <c r="E10" s="26">
        <f>D21/5</f>
        <v>-30000</v>
      </c>
      <c r="F10" s="26">
        <f>D21/5</f>
        <v>-30000</v>
      </c>
      <c r="G10" s="26">
        <f>D21/5</f>
        <v>-30000</v>
      </c>
      <c r="H10" s="5"/>
      <c r="I10" s="5"/>
      <c r="J10" s="5"/>
      <c r="K10" s="5"/>
      <c r="L10" s="5"/>
    </row>
    <row r="11" spans="2:12" ht="12.75">
      <c r="C11" s="25" t="s">
        <v>127</v>
      </c>
      <c r="D11" s="26"/>
      <c r="E11" s="26"/>
      <c r="F11" s="26"/>
      <c r="G11" s="26"/>
      <c r="H11" s="4"/>
    </row>
    <row r="12" spans="2:12" ht="12.75">
      <c r="C12" s="25" t="s">
        <v>129</v>
      </c>
      <c r="D12" s="26"/>
      <c r="E12" s="26"/>
      <c r="F12" s="26"/>
      <c r="G12" s="26"/>
    </row>
    <row r="13" spans="2:12" ht="12.75">
      <c r="C13" s="25" t="s">
        <v>333</v>
      </c>
      <c r="D13" s="26"/>
      <c r="E13" s="26"/>
      <c r="F13" s="26"/>
      <c r="G13" s="26">
        <v>-60000</v>
      </c>
    </row>
    <row r="14" spans="2:12" ht="12.75">
      <c r="C14" s="25" t="s">
        <v>334</v>
      </c>
      <c r="D14" s="26"/>
      <c r="E14" s="26"/>
      <c r="F14" s="26"/>
      <c r="G14" s="26"/>
      <c r="H14" s="249"/>
    </row>
    <row r="15" spans="2:12" ht="14.25">
      <c r="C15" s="31" t="s">
        <v>130</v>
      </c>
      <c r="D15" s="32"/>
      <c r="E15" s="32">
        <f>SUM(E2:E14)</f>
        <v>-591685.0278216271</v>
      </c>
      <c r="F15" s="32">
        <f>SUM(F2:F14)</f>
        <v>-589016.80449937691</v>
      </c>
      <c r="G15" s="32">
        <f>SUM(G2:G14)</f>
        <v>-646127.88028390717</v>
      </c>
    </row>
    <row r="16" spans="2:12" ht="12.75">
      <c r="B16" s="3"/>
      <c r="C16" s="33" t="s">
        <v>131</v>
      </c>
      <c r="D16" s="26"/>
      <c r="E16" s="26">
        <f>E15*$B$47</f>
        <v>-59168.502782162715</v>
      </c>
      <c r="F16" s="26">
        <f>F15*$B$47</f>
        <v>-58901.680449937696</v>
      </c>
      <c r="G16" s="26">
        <f>G15*$B$47</f>
        <v>-64612.788028390722</v>
      </c>
    </row>
    <row r="17" spans="1:13" ht="28.5">
      <c r="C17" s="34" t="s">
        <v>132</v>
      </c>
      <c r="D17" s="35"/>
      <c r="E17" s="35">
        <f>E15-E16</f>
        <v>-532516.52503946435</v>
      </c>
      <c r="F17" s="35">
        <f>F15-F16</f>
        <v>-530115.12404943921</v>
      </c>
      <c r="G17" s="35">
        <f>G15-G16</f>
        <v>-581515.09225551644</v>
      </c>
    </row>
    <row r="18" spans="1:13" ht="12.75">
      <c r="C18" s="33" t="s">
        <v>133</v>
      </c>
      <c r="D18" s="26"/>
      <c r="E18" s="26">
        <f>-SUM(E10:E14)</f>
        <v>30000</v>
      </c>
      <c r="F18" s="26">
        <f>-SUM(F10:F14)</f>
        <v>30000</v>
      </c>
      <c r="G18" s="26">
        <f>-SUM(G10:G14)</f>
        <v>90000</v>
      </c>
    </row>
    <row r="19" spans="1:13" ht="12.75">
      <c r="C19" s="25" t="s">
        <v>134</v>
      </c>
      <c r="D19" s="26"/>
      <c r="E19" s="26">
        <f>-D36</f>
        <v>-32258.209713343334</v>
      </c>
      <c r="F19" s="26">
        <f>-D37</f>
        <v>-34926.433035593494</v>
      </c>
      <c r="G19" s="26">
        <f>-D38</f>
        <v>-37815.357251063251</v>
      </c>
    </row>
    <row r="20" spans="1:13" ht="12.75">
      <c r="C20" s="25" t="s">
        <v>135</v>
      </c>
      <c r="D20" s="26">
        <v>105000</v>
      </c>
      <c r="E20" s="26"/>
      <c r="F20" s="26"/>
      <c r="G20" s="26"/>
      <c r="I20" t="s">
        <v>348</v>
      </c>
    </row>
    <row r="21" spans="1:13" ht="12.75">
      <c r="C21" s="25" t="s">
        <v>136</v>
      </c>
      <c r="D21" s="26">
        <v>-150000</v>
      </c>
      <c r="E21" s="26"/>
      <c r="F21" s="26"/>
      <c r="G21" s="26"/>
      <c r="H21" s="36"/>
      <c r="I21" s="256">
        <f>(1+0.05/(360/90))^(360/90)-1</f>
        <v>5.0945336914062445E-2</v>
      </c>
    </row>
    <row r="22" spans="1:13" ht="12.75">
      <c r="C22" s="25" t="s">
        <v>137</v>
      </c>
      <c r="D22" s="26">
        <v>0</v>
      </c>
      <c r="E22" s="26"/>
      <c r="F22" s="26"/>
      <c r="G22" s="26"/>
      <c r="H22" s="36" t="s">
        <v>138</v>
      </c>
    </row>
    <row r="23" spans="1:13" ht="14.25">
      <c r="C23" s="37" t="s">
        <v>139</v>
      </c>
      <c r="D23" s="35">
        <f>SUM(D17:D22)</f>
        <v>-45000</v>
      </c>
      <c r="E23" s="35">
        <f>SUM(E17:E22)</f>
        <v>-534774.73475280765</v>
      </c>
      <c r="F23" s="35">
        <f>SUM(F17:F22)</f>
        <v>-535041.55708503269</v>
      </c>
      <c r="G23" s="35">
        <f>SUM(G17:G22)</f>
        <v>-529330.44950657967</v>
      </c>
      <c r="H23" s="38">
        <f>D23+NPV(I21,E23:G23)</f>
        <v>-1494299.6711120657</v>
      </c>
    </row>
    <row r="24" spans="1:13" ht="12.75">
      <c r="C24" s="3">
        <v>0.06</v>
      </c>
      <c r="E24" s="5">
        <f>E23/((1+$C$24)^1)</f>
        <v>-504504.46674793173</v>
      </c>
      <c r="F24" s="5">
        <f>F23/((1+$C$24)^2)</f>
        <v>-476185.08106535475</v>
      </c>
      <c r="G24" s="5">
        <f>G23/((1+$C$24)^3)</f>
        <v>-444436.05250188033</v>
      </c>
      <c r="L24" s="208"/>
    </row>
    <row r="25" spans="1:13" ht="12.75">
      <c r="E25" s="5">
        <f>D23+SUM(E24:G24)</f>
        <v>-1470125.6003151669</v>
      </c>
      <c r="K25" s="258"/>
      <c r="M25" t="s">
        <v>7</v>
      </c>
    </row>
    <row r="26" spans="1:13" ht="15.75" customHeight="1">
      <c r="H26" t="s">
        <v>335</v>
      </c>
      <c r="L26" s="208"/>
    </row>
    <row r="27" spans="1:13" ht="12.75">
      <c r="A27" s="21"/>
      <c r="B27" s="263">
        <v>0.08</v>
      </c>
      <c r="C27" s="296" t="s">
        <v>0</v>
      </c>
    </row>
    <row r="28" spans="1:13" ht="12.75">
      <c r="A28" s="21"/>
      <c r="B28" s="264" t="s">
        <v>3</v>
      </c>
      <c r="C28" s="295">
        <f>(1+B27/6)^6</f>
        <v>1.0827145506821625</v>
      </c>
      <c r="D28" s="265">
        <f>C28-1</f>
        <v>8.2714550682162491E-2</v>
      </c>
    </row>
    <row r="29" spans="1:13" ht="12.75">
      <c r="A29" s="21"/>
      <c r="B29" s="23"/>
    </row>
    <row r="30" spans="1:13" ht="12.75">
      <c r="A30" s="21"/>
      <c r="B30" s="39"/>
    </row>
    <row r="31" spans="1:13" ht="12.75">
      <c r="A31" s="21"/>
      <c r="B31" s="23"/>
      <c r="G31" s="254"/>
      <c r="H31" s="254"/>
      <c r="I31" s="254"/>
      <c r="J31" s="254"/>
    </row>
    <row r="32" spans="1:13" ht="15.75" customHeight="1">
      <c r="J32" t="s">
        <v>345</v>
      </c>
    </row>
    <row r="33" spans="1:16" ht="12.75">
      <c r="A33" s="1615" t="s">
        <v>103</v>
      </c>
      <c r="B33" s="1613"/>
      <c r="C33" s="1613"/>
      <c r="D33" s="1613"/>
      <c r="E33" s="1614"/>
      <c r="J33" t="s">
        <v>346</v>
      </c>
    </row>
    <row r="34" spans="1:16" ht="12.75">
      <c r="A34" s="24" t="s">
        <v>105</v>
      </c>
      <c r="B34" s="24" t="s">
        <v>106</v>
      </c>
      <c r="C34" s="24" t="s">
        <v>102</v>
      </c>
      <c r="D34" s="24" t="s">
        <v>134</v>
      </c>
      <c r="E34" s="24" t="s">
        <v>107</v>
      </c>
      <c r="J34" t="s">
        <v>347</v>
      </c>
    </row>
    <row r="35" spans="1:16" ht="12.75">
      <c r="A35" s="25"/>
      <c r="B35" s="26"/>
      <c r="C35" s="26"/>
      <c r="D35" s="26"/>
      <c r="E35" s="26">
        <f>D20</f>
        <v>105000</v>
      </c>
    </row>
    <row r="36" spans="1:16" ht="12.75">
      <c r="A36" s="25">
        <v>1</v>
      </c>
      <c r="B36" s="26">
        <f>D28*E35/(1-(1+D28)^-3)</f>
        <v>40943.237534970394</v>
      </c>
      <c r="C36" s="26">
        <f>E35*D28</f>
        <v>8685.0278216270617</v>
      </c>
      <c r="D36" s="26">
        <f>B36-C36</f>
        <v>32258.209713343334</v>
      </c>
      <c r="E36" s="26">
        <f>E35-D36</f>
        <v>72741.790286656673</v>
      </c>
    </row>
    <row r="37" spans="1:16" ht="31.5" customHeight="1">
      <c r="A37" s="25">
        <v>2</v>
      </c>
      <c r="B37" s="26">
        <f>D28*E35/(1-(1+D28)^-3)</f>
        <v>40943.237534970394</v>
      </c>
      <c r="C37" s="26">
        <f>E36*D28</f>
        <v>6016.804499376899</v>
      </c>
      <c r="D37" s="26">
        <f>B37-C37</f>
        <v>34926.433035593494</v>
      </c>
      <c r="E37" s="26">
        <f>E36-D37</f>
        <v>37815.357251063178</v>
      </c>
      <c r="I37" s="1636" t="s">
        <v>351</v>
      </c>
      <c r="J37" s="1637"/>
      <c r="K37" s="1637"/>
      <c r="L37" s="1637"/>
      <c r="M37" s="1637"/>
      <c r="N37" s="1637"/>
      <c r="O37" s="1637"/>
      <c r="P37" s="1637"/>
    </row>
    <row r="38" spans="1:16" ht="15.75" customHeight="1">
      <c r="A38" s="25">
        <v>3</v>
      </c>
      <c r="B38" s="26">
        <f>E35*D28/(1-(1+D28)^-3)</f>
        <v>40943.237534970394</v>
      </c>
      <c r="C38" s="26">
        <f>E37*D28</f>
        <v>3127.8802839071463</v>
      </c>
      <c r="D38" s="26">
        <f>B38-C38</f>
        <v>37815.357251063251</v>
      </c>
      <c r="E38" s="26">
        <f>E37-D38</f>
        <v>-7.2759576141834259E-11</v>
      </c>
      <c r="I38" s="1637"/>
      <c r="J38" s="1637"/>
      <c r="K38" s="1637"/>
      <c r="L38" s="1637"/>
      <c r="M38" s="1637"/>
      <c r="N38" s="1637"/>
      <c r="O38" s="1637"/>
      <c r="P38" s="1637"/>
    </row>
    <row r="39" spans="1:16" ht="15.75" customHeight="1">
      <c r="I39" s="1637"/>
      <c r="J39" s="1637"/>
      <c r="K39" s="1637"/>
      <c r="L39" s="1637"/>
      <c r="M39" s="1637"/>
      <c r="N39" s="1637"/>
      <c r="O39" s="1637"/>
      <c r="P39" s="1637"/>
    </row>
    <row r="40" spans="1:16" ht="15.75" customHeight="1" thickBot="1"/>
    <row r="41" spans="1:16" ht="14.25">
      <c r="A41" s="40" t="s">
        <v>140</v>
      </c>
      <c r="B41" s="41">
        <f>(B43*B49)+ (B48*B50*(1-B47))</f>
        <v>0.06</v>
      </c>
    </row>
    <row r="42" spans="1:16" ht="15.75" customHeight="1">
      <c r="A42" s="42" t="s">
        <v>141</v>
      </c>
      <c r="B42" s="43" t="s">
        <v>142</v>
      </c>
    </row>
    <row r="43" spans="1:16" ht="15.75" customHeight="1">
      <c r="A43" s="44" t="s">
        <v>143</v>
      </c>
      <c r="B43" s="45">
        <f>B44+B45*(B46-B44)</f>
        <v>0.06</v>
      </c>
    </row>
    <row r="44" spans="1:16" ht="15.75" customHeight="1">
      <c r="A44" s="44" t="s">
        <v>144</v>
      </c>
      <c r="B44" s="46">
        <v>0.04</v>
      </c>
      <c r="C44" s="4" t="s">
        <v>145</v>
      </c>
    </row>
    <row r="45" spans="1:16" ht="12.75">
      <c r="A45" s="47" t="s">
        <v>7</v>
      </c>
      <c r="B45" s="48">
        <v>1</v>
      </c>
    </row>
    <row r="46" spans="1:16" ht="12.75">
      <c r="A46" s="47" t="s">
        <v>146</v>
      </c>
      <c r="B46" s="49">
        <v>0.06</v>
      </c>
      <c r="C46" s="4" t="s">
        <v>147</v>
      </c>
    </row>
    <row r="47" spans="1:16" ht="12.75">
      <c r="A47" s="47" t="s">
        <v>148</v>
      </c>
      <c r="B47" s="49">
        <v>0.1</v>
      </c>
      <c r="C47" s="4" t="s">
        <v>149</v>
      </c>
    </row>
    <row r="48" spans="1:16" ht="12.75">
      <c r="A48" s="47" t="s">
        <v>150</v>
      </c>
      <c r="B48" s="48">
        <v>0</v>
      </c>
      <c r="C48" s="4" t="s">
        <v>151</v>
      </c>
    </row>
    <row r="49" spans="1:5" ht="12.75">
      <c r="A49" s="47" t="s">
        <v>152</v>
      </c>
      <c r="B49" s="49">
        <v>1</v>
      </c>
      <c r="C49" s="4" t="s">
        <v>153</v>
      </c>
      <c r="D49" s="4"/>
      <c r="E49" s="4"/>
    </row>
    <row r="50" spans="1:5" ht="13.5" thickBot="1">
      <c r="A50" s="50" t="s">
        <v>154</v>
      </c>
      <c r="B50" s="51">
        <v>0</v>
      </c>
      <c r="C50" s="4" t="s">
        <v>155</v>
      </c>
      <c r="D50" s="4"/>
      <c r="E50" s="4"/>
    </row>
  </sheetData>
  <mergeCells count="2">
    <mergeCell ref="A33:E33"/>
    <mergeCell ref="I37:P39"/>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0F09-5A7A-4811-96A8-7FC07AF5481F}">
  <sheetPr>
    <outlinePr summaryBelow="0" summaryRight="0"/>
  </sheetPr>
  <dimension ref="A1:O52"/>
  <sheetViews>
    <sheetView workbookViewId="0">
      <selection activeCell="C28" sqref="C28"/>
    </sheetView>
  </sheetViews>
  <sheetFormatPr defaultColWidth="14.42578125" defaultRowHeight="15.75" customHeight="1"/>
  <cols>
    <col min="1" max="1" width="9.140625" customWidth="1"/>
    <col min="3" max="3" width="37.28515625" customWidth="1"/>
    <col min="10" max="10" width="18.85546875" customWidth="1"/>
    <col min="13" max="13" width="22" customWidth="1"/>
  </cols>
  <sheetData>
    <row r="1" spans="2:14" ht="12.75">
      <c r="C1" s="27" t="s">
        <v>27</v>
      </c>
      <c r="D1" s="27" t="s">
        <v>112</v>
      </c>
      <c r="E1" s="27" t="s">
        <v>113</v>
      </c>
      <c r="F1" s="27" t="s">
        <v>114</v>
      </c>
      <c r="G1" s="27" t="s">
        <v>115</v>
      </c>
      <c r="H1" s="27" t="s">
        <v>116</v>
      </c>
      <c r="I1" s="27" t="s">
        <v>117</v>
      </c>
      <c r="K1" t="s">
        <v>342</v>
      </c>
    </row>
    <row r="2" spans="2:14" ht="12.75">
      <c r="C2" s="28" t="s">
        <v>118</v>
      </c>
      <c r="D2" s="29"/>
      <c r="E2" s="29"/>
      <c r="F2" s="29"/>
      <c r="G2" s="29"/>
      <c r="H2" s="29"/>
      <c r="I2" s="29"/>
    </row>
    <row r="3" spans="2:14" ht="12.75">
      <c r="C3" s="25" t="s">
        <v>119</v>
      </c>
      <c r="D3" s="26"/>
      <c r="E3" s="26"/>
      <c r="F3" s="26">
        <v>45000</v>
      </c>
      <c r="G3" s="26">
        <f>F3*1.15</f>
        <v>51749.999999999993</v>
      </c>
      <c r="H3" s="26">
        <f>G3*1.1</f>
        <v>56925</v>
      </c>
      <c r="I3" s="26">
        <f>H3*1.05</f>
        <v>59771.25</v>
      </c>
      <c r="K3" s="251"/>
      <c r="L3" s="209"/>
      <c r="M3" s="209"/>
    </row>
    <row r="4" spans="2:14" ht="12.75">
      <c r="C4" s="25" t="s">
        <v>332</v>
      </c>
      <c r="D4" s="26"/>
      <c r="E4" s="26"/>
      <c r="F4" s="26"/>
      <c r="G4" s="26"/>
      <c r="H4" s="26"/>
      <c r="I4" s="26"/>
    </row>
    <row r="5" spans="2:14" ht="12.75">
      <c r="C5" s="28" t="s">
        <v>121</v>
      </c>
      <c r="D5" s="29"/>
      <c r="E5" s="29"/>
      <c r="F5" s="29"/>
      <c r="G5" s="29"/>
      <c r="H5" s="29"/>
      <c r="I5" s="29"/>
    </row>
    <row r="6" spans="2:14" ht="12.75">
      <c r="C6" s="25" t="s">
        <v>122</v>
      </c>
      <c r="D6" s="26"/>
      <c r="E6" s="26">
        <f>-C36</f>
        <v>-2118.5602318291226</v>
      </c>
      <c r="F6" s="26">
        <f>-C37</f>
        <v>-1727.9957843253167</v>
      </c>
      <c r="G6" s="26">
        <f>-C38</f>
        <v>-1321.5191386205902</v>
      </c>
      <c r="H6" s="26">
        <f>-C39</f>
        <v>-898.48200720899206</v>
      </c>
      <c r="I6" s="26">
        <f>-C40</f>
        <v>-458.2096903513231</v>
      </c>
    </row>
    <row r="7" spans="2:14" ht="12.75">
      <c r="C7" s="25" t="s">
        <v>123</v>
      </c>
      <c r="D7" s="26"/>
      <c r="E7" s="26"/>
      <c r="F7" s="26"/>
      <c r="G7" s="26">
        <v>-1000</v>
      </c>
      <c r="H7" s="26">
        <v>-1000</v>
      </c>
      <c r="I7" s="26">
        <v>-1000</v>
      </c>
    </row>
    <row r="8" spans="2:14" ht="12.75">
      <c r="C8" s="25" t="s">
        <v>124</v>
      </c>
      <c r="D8" s="26"/>
      <c r="E8" s="26"/>
      <c r="F8" s="26"/>
      <c r="G8" s="26"/>
      <c r="H8" s="26"/>
      <c r="I8" s="26"/>
    </row>
    <row r="9" spans="2:14" ht="12.75">
      <c r="C9" s="28" t="s">
        <v>125</v>
      </c>
      <c r="D9" s="29"/>
      <c r="E9" s="29"/>
      <c r="F9" s="29"/>
      <c r="G9" s="29"/>
      <c r="H9" s="29"/>
      <c r="I9" s="29"/>
    </row>
    <row r="10" spans="2:14" ht="12.75">
      <c r="C10" s="25" t="s">
        <v>126</v>
      </c>
      <c r="D10" s="26"/>
      <c r="E10" s="26">
        <f>D21/5</f>
        <v>-26000</v>
      </c>
      <c r="F10" s="26">
        <f>D21/5</f>
        <v>-26000</v>
      </c>
      <c r="G10" s="26">
        <f>D21/5</f>
        <v>-26000</v>
      </c>
      <c r="H10" s="26">
        <f>D21/5</f>
        <v>-26000</v>
      </c>
      <c r="I10" s="26">
        <f>D21/5</f>
        <v>-26000</v>
      </c>
      <c r="J10" s="5"/>
      <c r="K10" s="5"/>
      <c r="L10" s="5"/>
      <c r="M10" s="5"/>
      <c r="N10" s="5"/>
    </row>
    <row r="11" spans="2:14" ht="12.75">
      <c r="C11" s="25" t="s">
        <v>127</v>
      </c>
      <c r="D11" s="26"/>
      <c r="E11" s="26"/>
      <c r="F11" s="26"/>
      <c r="G11" s="26">
        <f>F22/5</f>
        <v>-2000</v>
      </c>
      <c r="H11" s="26">
        <f>F22/5</f>
        <v>-2000</v>
      </c>
      <c r="I11" s="26">
        <f>F22/5</f>
        <v>-2000</v>
      </c>
      <c r="J11" s="4"/>
    </row>
    <row r="12" spans="2:14" ht="12.75">
      <c r="C12" s="25" t="s">
        <v>129</v>
      </c>
      <c r="D12" s="26"/>
      <c r="E12" s="26"/>
      <c r="F12" s="26"/>
      <c r="G12" s="26"/>
      <c r="H12" s="26"/>
      <c r="I12" s="26"/>
    </row>
    <row r="13" spans="2:14" ht="12.75">
      <c r="C13" s="25" t="s">
        <v>333</v>
      </c>
      <c r="D13" s="26"/>
      <c r="E13" s="26"/>
      <c r="F13" s="26"/>
      <c r="G13" s="26"/>
      <c r="H13" s="26"/>
      <c r="I13" s="26">
        <v>-4000</v>
      </c>
    </row>
    <row r="14" spans="2:14" ht="12.75">
      <c r="C14" s="25" t="s">
        <v>334</v>
      </c>
      <c r="D14" s="26"/>
      <c r="E14" s="26"/>
      <c r="F14" s="26"/>
      <c r="G14" s="26"/>
      <c r="H14" s="26"/>
      <c r="I14" s="26"/>
      <c r="J14" s="249"/>
    </row>
    <row r="15" spans="2:14" ht="14.25">
      <c r="C15" s="31" t="s">
        <v>130</v>
      </c>
      <c r="D15" s="32"/>
      <c r="E15" s="32">
        <f>SUM(E2:E14)</f>
        <v>-28118.560231829124</v>
      </c>
      <c r="F15" s="32">
        <f>SUM(F2:F14)</f>
        <v>17272.004215674686</v>
      </c>
      <c r="G15" s="32">
        <f>SUM(G2:G14)</f>
        <v>21428.480861379401</v>
      </c>
      <c r="H15" s="32">
        <f>SUM(H2:H14)</f>
        <v>27026.517992791007</v>
      </c>
      <c r="I15" s="32">
        <f>SUM(I2:I14)</f>
        <v>26313.040309648677</v>
      </c>
    </row>
    <row r="16" spans="2:14" ht="12.75">
      <c r="B16" s="3"/>
      <c r="C16" s="33" t="s">
        <v>349</v>
      </c>
      <c r="D16" s="26"/>
      <c r="E16" s="26">
        <f>E15*0.35</f>
        <v>-9841.4960811401925</v>
      </c>
      <c r="F16" s="26">
        <f>F15*0.35</f>
        <v>6045.2014754861393</v>
      </c>
      <c r="G16" s="26">
        <f>G15*0.35</f>
        <v>7499.9683014827897</v>
      </c>
      <c r="H16" s="26">
        <f>H15*0.35</f>
        <v>9459.2812974768513</v>
      </c>
      <c r="I16" s="26">
        <f>I15*0.35</f>
        <v>9209.564108377037</v>
      </c>
    </row>
    <row r="17" spans="1:15" ht="28.5">
      <c r="C17" s="34" t="s">
        <v>132</v>
      </c>
      <c r="D17" s="35"/>
      <c r="E17" s="35">
        <f>E15-E16</f>
        <v>-18277.06415068893</v>
      </c>
      <c r="F17" s="35">
        <f>F15-F16</f>
        <v>11226.802740188547</v>
      </c>
      <c r="G17" s="35">
        <f>G15-G16</f>
        <v>13928.512559896611</v>
      </c>
      <c r="H17" s="35">
        <f>H15-H16</f>
        <v>17567.236695314154</v>
      </c>
      <c r="I17" s="35">
        <f>I15-I16</f>
        <v>17103.476201271638</v>
      </c>
    </row>
    <row r="18" spans="1:15" ht="12.75">
      <c r="C18" s="33" t="s">
        <v>133</v>
      </c>
      <c r="D18" s="26"/>
      <c r="E18" s="26">
        <f>-SUM(E10:E14)</f>
        <v>26000</v>
      </c>
      <c r="F18" s="26">
        <f>-SUM(F10:F14)</f>
        <v>26000</v>
      </c>
      <c r="G18" s="26">
        <f>-SUM(G10:G14)</f>
        <v>28000</v>
      </c>
      <c r="H18" s="26">
        <f>-SUM(H10:H14)</f>
        <v>28000</v>
      </c>
      <c r="I18" s="26">
        <f>-SUM(I10:I14)</f>
        <v>32000</v>
      </c>
    </row>
    <row r="19" spans="1:15" ht="12.75">
      <c r="C19" s="25" t="s">
        <v>134</v>
      </c>
      <c r="D19" s="26"/>
      <c r="E19" s="26">
        <f>-D36</f>
        <v>-9586.3931386379372</v>
      </c>
      <c r="F19" s="26">
        <f>-D37</f>
        <v>-9976.9575861417434</v>
      </c>
      <c r="G19" s="26">
        <f>-D38</f>
        <v>-10383.43423184647</v>
      </c>
      <c r="H19" s="26">
        <f>-D39</f>
        <v>-10806.471363258068</v>
      </c>
      <c r="I19" s="26">
        <f>-D40</f>
        <v>-11246.743680115736</v>
      </c>
    </row>
    <row r="20" spans="1:15" ht="12.75">
      <c r="C20" s="25" t="s">
        <v>135</v>
      </c>
      <c r="D20" s="26">
        <f>D21*0.4*-1</f>
        <v>52000</v>
      </c>
      <c r="E20" s="26"/>
      <c r="F20" s="26"/>
      <c r="G20" s="26"/>
      <c r="H20" s="26"/>
      <c r="I20" s="26"/>
      <c r="K20" t="s">
        <v>348</v>
      </c>
    </row>
    <row r="21" spans="1:15" ht="12.75">
      <c r="C21" s="25" t="s">
        <v>136</v>
      </c>
      <c r="D21" s="26">
        <v>-130000</v>
      </c>
      <c r="E21" s="26"/>
      <c r="F21" s="26"/>
      <c r="G21" s="26"/>
      <c r="H21" s="26"/>
      <c r="I21" s="26"/>
      <c r="J21" s="36"/>
      <c r="K21" s="256">
        <v>0.15</v>
      </c>
    </row>
    <row r="22" spans="1:15" ht="12.75">
      <c r="C22" s="25" t="s">
        <v>137</v>
      </c>
      <c r="D22" s="26">
        <v>0</v>
      </c>
      <c r="E22" s="26"/>
      <c r="F22" s="26">
        <v>-10000</v>
      </c>
      <c r="G22" s="26"/>
      <c r="H22" s="26"/>
      <c r="I22" s="26"/>
      <c r="J22" s="36" t="s">
        <v>138</v>
      </c>
    </row>
    <row r="23" spans="1:15" ht="14.25">
      <c r="C23" s="37" t="s">
        <v>139</v>
      </c>
      <c r="D23" s="35">
        <f t="shared" ref="D23:I23" si="0">SUM(D17:D22)</f>
        <v>-78000</v>
      </c>
      <c r="E23" s="35">
        <f t="shared" si="0"/>
        <v>-1863.4572893268669</v>
      </c>
      <c r="F23" s="35">
        <f t="shared" si="0"/>
        <v>17249.845154046805</v>
      </c>
      <c r="G23" s="35">
        <f t="shared" si="0"/>
        <v>31545.078328050142</v>
      </c>
      <c r="H23" s="35">
        <f t="shared" si="0"/>
        <v>34760.765332056086</v>
      </c>
      <c r="I23" s="35">
        <f t="shared" si="0"/>
        <v>37856.7325211559</v>
      </c>
      <c r="J23" s="38">
        <f>D23+NPV(K21,E23:I23)</f>
        <v>-7139.5683319490345</v>
      </c>
    </row>
    <row r="24" spans="1:15" ht="12.75">
      <c r="C24" s="3">
        <v>0.06</v>
      </c>
      <c r="E24" s="5">
        <f>E23/((1+$C$24)^1)</f>
        <v>-1757.9785748366669</v>
      </c>
      <c r="F24" s="5">
        <f>F23/((1+$C$24)^2)</f>
        <v>15352.300777898543</v>
      </c>
      <c r="G24" s="5"/>
      <c r="H24" s="5"/>
      <c r="I24" s="5">
        <f>I23/((1+$C$24)^3)</f>
        <v>31785.242617358534</v>
      </c>
      <c r="N24" s="208"/>
    </row>
    <row r="25" spans="1:15" ht="12.75">
      <c r="E25" s="5">
        <f>D23+SUM(E24:I24)</f>
        <v>-32620.435179579588</v>
      </c>
      <c r="M25" s="258"/>
    </row>
    <row r="26" spans="1:15" ht="15.75" customHeight="1">
      <c r="B26" s="259" t="s">
        <v>0</v>
      </c>
      <c r="J26" t="s">
        <v>335</v>
      </c>
      <c r="N26" s="208"/>
    </row>
    <row r="27" spans="1:15" ht="12.75">
      <c r="A27" s="21"/>
      <c r="B27" s="260">
        <v>0.04</v>
      </c>
      <c r="C27" s="261" t="s">
        <v>3</v>
      </c>
      <c r="D27" s="261" t="s">
        <v>3</v>
      </c>
    </row>
    <row r="28" spans="1:15" ht="12.75">
      <c r="A28" s="21"/>
      <c r="B28" s="23" t="s">
        <v>3</v>
      </c>
      <c r="C28" s="261">
        <f>(1+B27/12)^12</f>
        <v>1.0407415429197908</v>
      </c>
      <c r="D28" s="262">
        <f>C28-1</f>
        <v>4.0741542919790819E-2</v>
      </c>
      <c r="J28" t="s">
        <v>350</v>
      </c>
    </row>
    <row r="29" spans="1:15" ht="12.75">
      <c r="A29" s="21"/>
      <c r="B29" s="23"/>
      <c r="J29" s="1638" t="s">
        <v>352</v>
      </c>
      <c r="K29" s="1638"/>
      <c r="L29" s="1638"/>
      <c r="M29" s="1638"/>
      <c r="N29" s="1638"/>
      <c r="O29" s="1638"/>
    </row>
    <row r="30" spans="1:15" ht="12.75">
      <c r="A30" s="21"/>
      <c r="B30" s="39"/>
      <c r="J30" s="1638"/>
      <c r="K30" s="1638"/>
      <c r="L30" s="1638"/>
      <c r="M30" s="1638"/>
      <c r="N30" s="1638"/>
      <c r="O30" s="1638"/>
    </row>
    <row r="31" spans="1:15" ht="12.75">
      <c r="A31" s="21"/>
      <c r="B31" s="23"/>
      <c r="I31" s="254"/>
      <c r="J31" s="1638"/>
      <c r="K31" s="1638"/>
      <c r="L31" s="1638"/>
      <c r="M31" s="1638"/>
      <c r="N31" s="1638"/>
      <c r="O31" s="1638"/>
    </row>
    <row r="33" spans="1:5" ht="12.75">
      <c r="A33" s="1615" t="s">
        <v>103</v>
      </c>
      <c r="B33" s="1613"/>
      <c r="C33" s="1613"/>
      <c r="D33" s="1613"/>
      <c r="E33" s="1614"/>
    </row>
    <row r="34" spans="1:5" ht="12.75">
      <c r="A34" s="24" t="s">
        <v>105</v>
      </c>
      <c r="B34" s="24" t="s">
        <v>106</v>
      </c>
      <c r="C34" s="24" t="s">
        <v>102</v>
      </c>
      <c r="D34" s="24" t="s">
        <v>134</v>
      </c>
      <c r="E34" s="24" t="s">
        <v>107</v>
      </c>
    </row>
    <row r="35" spans="1:5" ht="12.75">
      <c r="A35" s="25"/>
      <c r="B35" s="26"/>
      <c r="C35" s="26"/>
      <c r="D35" s="26"/>
      <c r="E35" s="26">
        <f>D20</f>
        <v>52000</v>
      </c>
    </row>
    <row r="36" spans="1:5" ht="12.75">
      <c r="A36" s="25">
        <v>1</v>
      </c>
      <c r="B36" s="26">
        <f>D28*E35/(1-(1+D28)^-5)</f>
        <v>11704.953370467059</v>
      </c>
      <c r="C36" s="26">
        <f>E35*D28</f>
        <v>2118.5602318291226</v>
      </c>
      <c r="D36" s="26">
        <f>B36-C36</f>
        <v>9586.3931386379372</v>
      </c>
      <c r="E36" s="26">
        <f>E35-D36</f>
        <v>42413.606861362059</v>
      </c>
    </row>
    <row r="37" spans="1:5" ht="12.75">
      <c r="A37" s="25">
        <v>2</v>
      </c>
      <c r="B37" s="26">
        <f>D28*E35/(1-(1+D28)^-5)</f>
        <v>11704.953370467059</v>
      </c>
      <c r="C37" s="26">
        <f>E36*D28</f>
        <v>1727.9957843253167</v>
      </c>
      <c r="D37" s="26">
        <f>B37-C37</f>
        <v>9976.9575861417434</v>
      </c>
      <c r="E37" s="26">
        <f>E36-D37</f>
        <v>32436.649275220316</v>
      </c>
    </row>
    <row r="38" spans="1:5" ht="15.75" customHeight="1">
      <c r="A38" s="25">
        <v>3</v>
      </c>
      <c r="B38" s="26">
        <f>D28*E35/(1-(1+D28)^-5)</f>
        <v>11704.953370467059</v>
      </c>
      <c r="C38" s="26">
        <f>E37*D28</f>
        <v>1321.5191386205902</v>
      </c>
      <c r="D38" s="26">
        <f>B38-C38</f>
        <v>10383.43423184647</v>
      </c>
      <c r="E38" s="26">
        <f>E37-D38</f>
        <v>22053.215043373846</v>
      </c>
    </row>
    <row r="39" spans="1:5" ht="15.75" customHeight="1">
      <c r="A39" s="25">
        <v>4</v>
      </c>
      <c r="B39" s="26">
        <f>D28*E35/(1-(1+D28)^-5)</f>
        <v>11704.953370467059</v>
      </c>
      <c r="C39" s="26">
        <f>E38*D28</f>
        <v>898.48200720899206</v>
      </c>
      <c r="D39" s="26">
        <f>B39-C39</f>
        <v>10806.471363258068</v>
      </c>
      <c r="E39" s="26">
        <f>E38-D39</f>
        <v>11246.743680115778</v>
      </c>
    </row>
    <row r="40" spans="1:5" ht="15.75" customHeight="1">
      <c r="A40" s="25">
        <v>5</v>
      </c>
      <c r="B40" s="26">
        <f>D28*E35/(1-(1+D28)^-5)</f>
        <v>11704.953370467059</v>
      </c>
      <c r="C40" s="26">
        <f>E39*D28</f>
        <v>458.2096903513231</v>
      </c>
      <c r="D40" s="26">
        <f>B40-C40</f>
        <v>11246.743680115736</v>
      </c>
      <c r="E40" s="26">
        <f>E39-D40</f>
        <v>4.1836756281554699E-11</v>
      </c>
    </row>
    <row r="43" spans="1:5" ht="14.25">
      <c r="A43" s="40" t="s">
        <v>140</v>
      </c>
      <c r="B43" s="41">
        <f>(B45*B51)+ (B50*B52*(1-B49))</f>
        <v>0.06</v>
      </c>
    </row>
    <row r="44" spans="1:5" ht="15.75" customHeight="1">
      <c r="A44" s="42" t="s">
        <v>141</v>
      </c>
      <c r="B44" s="43" t="s">
        <v>142</v>
      </c>
    </row>
    <row r="45" spans="1:5" ht="15.75" customHeight="1">
      <c r="A45" s="44" t="s">
        <v>143</v>
      </c>
      <c r="B45" s="45">
        <f>B46+B47*(B48-B46)</f>
        <v>0.06</v>
      </c>
    </row>
    <row r="46" spans="1:5" ht="15.75" customHeight="1">
      <c r="A46" s="44" t="s">
        <v>144</v>
      </c>
      <c r="B46" s="46">
        <v>0.04</v>
      </c>
      <c r="C46" s="4" t="s">
        <v>145</v>
      </c>
    </row>
    <row r="47" spans="1:5" ht="12.75">
      <c r="A47" s="47" t="s">
        <v>7</v>
      </c>
      <c r="B47" s="48">
        <v>1</v>
      </c>
    </row>
    <row r="48" spans="1:5" ht="12.75">
      <c r="A48" s="47" t="s">
        <v>146</v>
      </c>
      <c r="B48" s="49">
        <v>0.06</v>
      </c>
      <c r="C48" s="4" t="s">
        <v>147</v>
      </c>
    </row>
    <row r="49" spans="1:5" ht="12.75">
      <c r="A49" s="47" t="s">
        <v>148</v>
      </c>
      <c r="B49" s="49">
        <v>0.1</v>
      </c>
      <c r="C49" s="4" t="s">
        <v>149</v>
      </c>
    </row>
    <row r="50" spans="1:5" ht="12.75">
      <c r="A50" s="47" t="s">
        <v>150</v>
      </c>
      <c r="B50" s="48">
        <v>0</v>
      </c>
      <c r="C50" s="4" t="s">
        <v>151</v>
      </c>
    </row>
    <row r="51" spans="1:5" ht="12.75">
      <c r="A51" s="47" t="s">
        <v>152</v>
      </c>
      <c r="B51" s="49">
        <v>1</v>
      </c>
      <c r="C51" s="4" t="s">
        <v>153</v>
      </c>
      <c r="D51" s="4"/>
      <c r="E51" s="4"/>
    </row>
    <row r="52" spans="1:5" ht="13.5" thickBot="1">
      <c r="A52" s="50" t="s">
        <v>154</v>
      </c>
      <c r="B52" s="51">
        <v>0</v>
      </c>
      <c r="C52" s="4" t="s">
        <v>155</v>
      </c>
      <c r="D52" s="4"/>
      <c r="E52" s="4"/>
    </row>
  </sheetData>
  <mergeCells count="2">
    <mergeCell ref="A33:E33"/>
    <mergeCell ref="J29:O31"/>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0BEC-83B4-48A7-91A2-22E2229CDD93}">
  <sheetPr>
    <outlinePr summaryBelow="0" summaryRight="0"/>
  </sheetPr>
  <dimension ref="B1:P60"/>
  <sheetViews>
    <sheetView topLeftCell="D25" workbookViewId="0">
      <selection activeCell="P49" sqref="P49"/>
    </sheetView>
  </sheetViews>
  <sheetFormatPr defaultColWidth="14.42578125" defaultRowHeight="15.75" customHeight="1"/>
  <cols>
    <col min="1" max="1" width="9.140625" customWidth="1"/>
    <col min="3" max="3" width="37.28515625" customWidth="1"/>
    <col min="10" max="10" width="18.85546875" customWidth="1"/>
    <col min="13" max="13" width="22" customWidth="1"/>
  </cols>
  <sheetData>
    <row r="1" spans="2:14" ht="12.75">
      <c r="C1" s="27" t="s">
        <v>27</v>
      </c>
      <c r="D1" s="27" t="s">
        <v>112</v>
      </c>
      <c r="E1" s="27" t="s">
        <v>113</v>
      </c>
      <c r="F1" s="27" t="s">
        <v>114</v>
      </c>
      <c r="G1" s="27" t="s">
        <v>115</v>
      </c>
      <c r="H1" s="27" t="s">
        <v>116</v>
      </c>
      <c r="I1" s="27" t="s">
        <v>117</v>
      </c>
    </row>
    <row r="2" spans="2:14" ht="12.75">
      <c r="C2" s="269" t="s">
        <v>118</v>
      </c>
      <c r="D2" s="270"/>
      <c r="E2" s="270"/>
      <c r="F2" s="270"/>
      <c r="G2" s="270"/>
      <c r="H2" s="270"/>
      <c r="I2" s="270"/>
    </row>
    <row r="3" spans="2:14" ht="12.75">
      <c r="C3" s="25" t="s">
        <v>356</v>
      </c>
      <c r="D3" s="26"/>
      <c r="E3" s="26"/>
      <c r="F3" s="26"/>
      <c r="G3" s="26"/>
      <c r="H3" s="26"/>
      <c r="I3" s="26"/>
    </row>
    <row r="4" spans="2:14" ht="12.75">
      <c r="B4" t="s">
        <v>357</v>
      </c>
      <c r="C4" s="25" t="s">
        <v>119</v>
      </c>
      <c r="D4" s="26"/>
      <c r="E4" s="26">
        <v>10000</v>
      </c>
      <c r="F4" s="26">
        <v>10000</v>
      </c>
      <c r="G4" s="26">
        <v>10000</v>
      </c>
      <c r="H4" s="26">
        <v>10000</v>
      </c>
      <c r="I4" s="26">
        <v>10000</v>
      </c>
      <c r="K4" s="251"/>
      <c r="L4" s="209"/>
      <c r="M4" s="209"/>
    </row>
    <row r="5" spans="2:14" ht="12.75">
      <c r="B5" t="s">
        <v>358</v>
      </c>
      <c r="C5" s="25" t="s">
        <v>332</v>
      </c>
      <c r="D5" s="26"/>
      <c r="E5" s="26"/>
      <c r="F5" s="26"/>
      <c r="G5" s="26"/>
      <c r="H5" s="26">
        <v>30000</v>
      </c>
      <c r="I5" s="26"/>
    </row>
    <row r="6" spans="2:14" ht="12.75">
      <c r="C6" s="269" t="s">
        <v>121</v>
      </c>
      <c r="D6" s="270"/>
      <c r="E6" s="270"/>
      <c r="F6" s="270"/>
      <c r="G6" s="270"/>
      <c r="H6" s="270"/>
      <c r="I6" s="270"/>
    </row>
    <row r="7" spans="2:14" ht="12.75">
      <c r="C7" s="25" t="s">
        <v>122</v>
      </c>
      <c r="D7" s="26"/>
      <c r="E7" s="26">
        <f>-'Ej35guiaNueva2023Ch PRESTAMO'!D71</f>
        <v>-12692.033203125045</v>
      </c>
      <c r="F7" s="26">
        <f>-'Ej35guiaNueva2023Ch PRESTAMO'!D72</f>
        <v>-9066.8992872728668</v>
      </c>
      <c r="G7" s="26">
        <f>-'Ej35guiaNueva2023Ch PRESTAMO'!D73</f>
        <v>-4866.6363710985552</v>
      </c>
      <c r="H7" s="26">
        <f>-'Ej35guiaNueva2023Ch PRESTAMO'!D74</f>
        <v>0</v>
      </c>
      <c r="I7" s="26">
        <f>-'Ej35guiaNueva2023Ch PRESTAMO'!D75</f>
        <v>0</v>
      </c>
    </row>
    <row r="8" spans="2:14" ht="12.75">
      <c r="C8" s="25" t="s">
        <v>123</v>
      </c>
      <c r="D8" s="26"/>
      <c r="E8" s="26"/>
      <c r="F8" s="26"/>
      <c r="G8" s="26"/>
      <c r="H8" s="26"/>
      <c r="I8" s="26"/>
    </row>
    <row r="9" spans="2:14" ht="12.75">
      <c r="C9" s="25" t="s">
        <v>124</v>
      </c>
      <c r="D9" s="26"/>
      <c r="E9" s="26"/>
      <c r="F9" s="26"/>
      <c r="G9" s="26"/>
      <c r="H9" s="26"/>
      <c r="I9" s="26"/>
    </row>
    <row r="10" spans="2:14" ht="12.75">
      <c r="C10" s="267" t="s">
        <v>125</v>
      </c>
      <c r="D10" s="268"/>
      <c r="E10" s="268"/>
      <c r="F10" s="268"/>
      <c r="G10" s="268"/>
      <c r="H10" s="268"/>
      <c r="I10" s="268"/>
    </row>
    <row r="11" spans="2:14" ht="12.75">
      <c r="C11" s="25" t="s">
        <v>126</v>
      </c>
      <c r="D11" s="26"/>
      <c r="E11" s="26">
        <f>D22/5</f>
        <v>-1600</v>
      </c>
      <c r="F11" s="26">
        <f>D22/5</f>
        <v>-1600</v>
      </c>
      <c r="G11" s="26">
        <f>D22/5</f>
        <v>-1600</v>
      </c>
      <c r="H11" s="26">
        <f>D22/5</f>
        <v>-1600</v>
      </c>
      <c r="I11" s="26">
        <f>D22/5/2</f>
        <v>-800</v>
      </c>
      <c r="J11" s="5"/>
      <c r="K11" s="5"/>
      <c r="L11" s="5"/>
      <c r="M11" s="5"/>
      <c r="N11" s="5"/>
    </row>
    <row r="12" spans="2:14" ht="12.75">
      <c r="C12" s="25" t="s">
        <v>127</v>
      </c>
      <c r="D12" s="26"/>
      <c r="E12" s="26"/>
      <c r="F12" s="26"/>
      <c r="G12" s="26"/>
      <c r="H12" s="26"/>
      <c r="I12" s="26"/>
      <c r="J12" s="4"/>
    </row>
    <row r="13" spans="2:14" ht="12.75">
      <c r="C13" s="25" t="s">
        <v>129</v>
      </c>
      <c r="D13" s="26"/>
      <c r="E13" s="26"/>
      <c r="F13" s="26"/>
      <c r="G13" s="26"/>
      <c r="H13" s="26"/>
      <c r="I13" s="26"/>
    </row>
    <row r="14" spans="2:14" ht="12.75">
      <c r="C14" s="25" t="s">
        <v>333</v>
      </c>
      <c r="D14" s="26"/>
      <c r="E14" s="26"/>
      <c r="F14" s="26"/>
      <c r="G14" s="26"/>
      <c r="H14" s="26">
        <f>I11</f>
        <v>-800</v>
      </c>
      <c r="I14" s="26"/>
    </row>
    <row r="15" spans="2:14" ht="12.75">
      <c r="C15" s="25" t="s">
        <v>334</v>
      </c>
      <c r="D15" s="26"/>
      <c r="E15" s="26"/>
      <c r="F15" s="26"/>
      <c r="G15" s="26"/>
      <c r="H15" s="26"/>
      <c r="I15" s="26"/>
      <c r="J15" s="249"/>
    </row>
    <row r="16" spans="2:14" ht="14.25">
      <c r="C16" s="31" t="s">
        <v>130</v>
      </c>
      <c r="D16" s="32"/>
      <c r="E16" s="32">
        <f>SUM(E2:E15)</f>
        <v>-4292.0332031250455</v>
      </c>
      <c r="F16" s="32">
        <f>SUM(F2:F15)</f>
        <v>-666.89928727286679</v>
      </c>
      <c r="G16" s="32">
        <f>SUM(G2:G15)</f>
        <v>3533.3636289014448</v>
      </c>
      <c r="H16" s="32">
        <f>SUM(H2:H15)</f>
        <v>37600</v>
      </c>
      <c r="I16" s="32">
        <f>SUM(I2:I15)</f>
        <v>9200</v>
      </c>
    </row>
    <row r="17" spans="2:15" ht="12.75">
      <c r="B17" s="3"/>
      <c r="C17" s="33" t="s">
        <v>353</v>
      </c>
      <c r="D17" s="26"/>
      <c r="E17" s="26">
        <f>E16*0.1</f>
        <v>-429.20332031250456</v>
      </c>
      <c r="F17" s="26">
        <f>F16*0.1</f>
        <v>-66.689928727286684</v>
      </c>
      <c r="G17" s="26">
        <f>G16*0.1</f>
        <v>353.33636289014453</v>
      </c>
      <c r="H17" s="26">
        <f>H16*0.1</f>
        <v>3760</v>
      </c>
      <c r="I17" s="26">
        <f>I16*0.1</f>
        <v>920</v>
      </c>
    </row>
    <row r="18" spans="2:15" ht="28.5">
      <c r="C18" s="34" t="s">
        <v>132</v>
      </c>
      <c r="D18" s="35"/>
      <c r="E18" s="35">
        <f>E16-E17</f>
        <v>-3862.8298828125407</v>
      </c>
      <c r="F18" s="35">
        <f>F16-F17</f>
        <v>-600.20935854558013</v>
      </c>
      <c r="G18" s="35">
        <f>G16-G17</f>
        <v>3180.0272660113005</v>
      </c>
      <c r="H18" s="35">
        <f>H16-H17</f>
        <v>33840</v>
      </c>
      <c r="I18" s="35">
        <f>I16-I17</f>
        <v>8280</v>
      </c>
    </row>
    <row r="19" spans="2:15" ht="12.75">
      <c r="C19" s="33" t="s">
        <v>133</v>
      </c>
      <c r="D19" s="26"/>
      <c r="E19" s="26">
        <f>-SUM(E11:E15)</f>
        <v>1600</v>
      </c>
      <c r="F19" s="26">
        <f>-SUM(F11:F15)</f>
        <v>1600</v>
      </c>
      <c r="G19" s="26">
        <f>-SUM(G11:G15)</f>
        <v>1600</v>
      </c>
      <c r="H19" s="26">
        <f>-SUM(H11:H15)</f>
        <v>2400</v>
      </c>
      <c r="I19" s="26">
        <f>-SUM(I11:I15)</f>
        <v>800</v>
      </c>
    </row>
    <row r="20" spans="2:15" ht="12.75">
      <c r="C20" s="25" t="s">
        <v>134</v>
      </c>
      <c r="D20" s="26"/>
      <c r="E20" s="26">
        <f>-'Ej35guiaNueva2023Ch PRESTAMO'!E71</f>
        <v>-22849.823084040436</v>
      </c>
      <c r="F20" s="26">
        <f>-'Ej35guiaNueva2023Ch PRESTAMO'!E72</f>
        <v>-26474.956999892613</v>
      </c>
      <c r="G20" s="26">
        <f>-'Ej35guiaNueva2023Ch PRESTAMO'!E73</f>
        <v>-30675.219916066926</v>
      </c>
      <c r="H20" s="26">
        <f>-'Ej35guiaNueva2023Ch PRESTAMO'!E74</f>
        <v>0</v>
      </c>
      <c r="I20" s="26">
        <f>-'Ej35guiaNueva2023Ch PRESTAMO'!E75</f>
        <v>0</v>
      </c>
    </row>
    <row r="21" spans="2:15" ht="12.75">
      <c r="C21" s="25" t="s">
        <v>135</v>
      </c>
      <c r="D21" s="26">
        <v>6000</v>
      </c>
      <c r="E21" s="26"/>
      <c r="F21" s="26"/>
      <c r="G21" s="26"/>
      <c r="H21" s="26"/>
      <c r="I21" s="26"/>
      <c r="K21" t="s">
        <v>348</v>
      </c>
    </row>
    <row r="22" spans="2:15" ht="12.75">
      <c r="C22" s="25" t="s">
        <v>136</v>
      </c>
      <c r="D22" s="26">
        <v>-8000</v>
      </c>
      <c r="E22" s="26"/>
      <c r="F22" s="26"/>
      <c r="G22" s="26"/>
      <c r="H22" s="26"/>
      <c r="I22" s="26"/>
      <c r="J22" s="36"/>
      <c r="K22" s="256">
        <f>J41</f>
        <v>5.9049773755656107E-2</v>
      </c>
    </row>
    <row r="23" spans="2:15" ht="12.75">
      <c r="C23" s="25" t="s">
        <v>137</v>
      </c>
      <c r="D23" s="26">
        <v>0</v>
      </c>
      <c r="E23" s="26"/>
      <c r="F23" s="26"/>
      <c r="G23" s="26"/>
      <c r="H23" s="26"/>
      <c r="I23" s="26"/>
      <c r="J23" s="36" t="s">
        <v>138</v>
      </c>
    </row>
    <row r="24" spans="2:15" ht="14.25">
      <c r="C24" s="37" t="s">
        <v>139</v>
      </c>
      <c r="D24" s="35">
        <f t="shared" ref="D24:I24" si="0">SUM(D18:D23)</f>
        <v>-2000</v>
      </c>
      <c r="E24" s="35">
        <f t="shared" si="0"/>
        <v>-25112.652966852977</v>
      </c>
      <c r="F24" s="35">
        <f t="shared" si="0"/>
        <v>-25475.166358438193</v>
      </c>
      <c r="G24" s="35">
        <f t="shared" si="0"/>
        <v>-25895.192650055626</v>
      </c>
      <c r="H24" s="35">
        <f t="shared" si="0"/>
        <v>36240</v>
      </c>
      <c r="I24" s="35">
        <f t="shared" si="0"/>
        <v>9080</v>
      </c>
      <c r="J24" s="38">
        <f>D24+NPV(K22,E24:I24)</f>
        <v>-34602.395336229019</v>
      </c>
    </row>
    <row r="25" spans="2:15" ht="12.75">
      <c r="C25" s="3">
        <v>0.06</v>
      </c>
      <c r="E25" s="5">
        <f>E24/((1+$C$25)^1)</f>
        <v>-23691.182044200919</v>
      </c>
      <c r="F25" s="5">
        <f>F24/((1+$C$25)^2)</f>
        <v>-22672.807367780519</v>
      </c>
      <c r="G25" s="5"/>
      <c r="H25" s="5"/>
      <c r="I25" s="5">
        <f>I24/((1+$C$25)^3)</f>
        <v>7623.7430899332985</v>
      </c>
      <c r="N25" s="208"/>
    </row>
    <row r="26" spans="2:15" ht="12.75">
      <c r="E26" s="5">
        <f>D24+SUM(E25:I25)</f>
        <v>-40740.246322048144</v>
      </c>
      <c r="M26" s="258"/>
    </row>
    <row r="27" spans="2:15" ht="15.75" customHeight="1">
      <c r="J27" t="s">
        <v>335</v>
      </c>
      <c r="N27" s="208"/>
    </row>
    <row r="28" spans="2:15" ht="12.75"/>
    <row r="29" spans="2:15" ht="12.75">
      <c r="J29" t="s">
        <v>350</v>
      </c>
    </row>
    <row r="30" spans="2:15" ht="12.75">
      <c r="J30" s="1638" t="s">
        <v>354</v>
      </c>
      <c r="K30" s="1638"/>
      <c r="L30" s="1638"/>
      <c r="M30" s="1638"/>
      <c r="N30" s="1638"/>
      <c r="O30" s="1638"/>
    </row>
    <row r="31" spans="2:15" ht="12.75">
      <c r="J31" s="1638"/>
      <c r="K31" s="1638"/>
      <c r="L31" s="1638"/>
      <c r="M31" s="1638"/>
      <c r="N31" s="1638"/>
      <c r="O31" s="1638"/>
    </row>
    <row r="32" spans="2:15" ht="12.75">
      <c r="I32" s="254"/>
      <c r="J32" s="1638"/>
      <c r="K32" s="1638"/>
      <c r="L32" s="1638"/>
      <c r="M32" s="1638"/>
      <c r="N32" s="1638"/>
      <c r="O32" s="1638"/>
    </row>
    <row r="33" spans="9:15" ht="15.75" customHeight="1">
      <c r="J33" t="s">
        <v>355</v>
      </c>
    </row>
    <row r="34" spans="9:15" ht="12.75"/>
    <row r="35" spans="9:15" ht="12.75"/>
    <row r="36" spans="9:15" ht="12.75"/>
    <row r="37" spans="9:15" ht="12.75"/>
    <row r="38" spans="9:15" ht="12.75"/>
    <row r="40" spans="9:15" ht="15.75" customHeight="1" thickBot="1"/>
    <row r="41" spans="9:15" ht="15.75" customHeight="1">
      <c r="I41" s="40" t="s">
        <v>140</v>
      </c>
      <c r="J41" s="41">
        <f>(J43*J49)+ (J48*J50*(1-J47))</f>
        <v>5.9049773755656107E-2</v>
      </c>
      <c r="M41" s="1619" t="s">
        <v>150</v>
      </c>
      <c r="N41" s="1618"/>
    </row>
    <row r="42" spans="9:15" ht="15.75" customHeight="1">
      <c r="I42" s="42" t="s">
        <v>141</v>
      </c>
      <c r="J42" s="43" t="s">
        <v>142</v>
      </c>
      <c r="M42" s="47" t="s">
        <v>161</v>
      </c>
      <c r="N42" s="48">
        <f>N58+N57</f>
        <v>80000</v>
      </c>
    </row>
    <row r="43" spans="9:15" ht="15.75" customHeight="1">
      <c r="I43" s="44" t="s">
        <v>143</v>
      </c>
      <c r="J43" s="45">
        <f>J44+J45*(J46-J44)</f>
        <v>0.03</v>
      </c>
      <c r="M43" s="47" t="s">
        <v>162</v>
      </c>
      <c r="N43" s="292">
        <f>150000</f>
        <v>150000</v>
      </c>
    </row>
    <row r="44" spans="9:15" ht="15">
      <c r="I44" s="44" t="s">
        <v>144</v>
      </c>
      <c r="J44" s="46">
        <v>0.03</v>
      </c>
      <c r="K44" s="4" t="s">
        <v>145</v>
      </c>
      <c r="M44" s="47" t="s">
        <v>163</v>
      </c>
      <c r="N44" s="49">
        <v>0.09</v>
      </c>
    </row>
    <row r="45" spans="9:15" ht="15.75" customHeight="1">
      <c r="I45" s="47" t="s">
        <v>7</v>
      </c>
      <c r="J45" s="277">
        <v>0</v>
      </c>
      <c r="M45" s="47" t="s">
        <v>164</v>
      </c>
      <c r="N45" s="49">
        <v>0.15</v>
      </c>
    </row>
    <row r="46" spans="9:15" ht="15.75" customHeight="1" thickBot="1">
      <c r="I46" s="47" t="s">
        <v>146</v>
      </c>
      <c r="J46" s="278">
        <v>0</v>
      </c>
      <c r="K46" s="4" t="s">
        <v>147</v>
      </c>
      <c r="M46" s="85" t="s">
        <v>165</v>
      </c>
      <c r="N46" s="293">
        <f>N45*(N42/N60)+N44*(N43/N60)</f>
        <v>0.1108695652173913</v>
      </c>
      <c r="O46" t="s">
        <v>742</v>
      </c>
    </row>
    <row r="47" spans="9:15" ht="15.75" customHeight="1">
      <c r="I47" s="47" t="s">
        <v>148</v>
      </c>
      <c r="J47" s="87">
        <v>0.1</v>
      </c>
      <c r="K47" s="4" t="s">
        <v>149</v>
      </c>
      <c r="L47" s="4"/>
      <c r="M47" s="4"/>
    </row>
    <row r="48" spans="9:15" ht="13.5" thickBot="1">
      <c r="I48" s="47" t="s">
        <v>150</v>
      </c>
      <c r="J48" s="569">
        <f>N46</f>
        <v>0.1108695652173913</v>
      </c>
      <c r="K48" s="4" t="s">
        <v>151</v>
      </c>
      <c r="L48" s="4"/>
      <c r="M48" s="4"/>
    </row>
    <row r="49" spans="8:16" ht="14.25">
      <c r="I49" s="47" t="s">
        <v>152</v>
      </c>
      <c r="J49" s="87">
        <f>N53</f>
        <v>0.58371040723981904</v>
      </c>
      <c r="K49" s="4" t="s">
        <v>153</v>
      </c>
      <c r="M49" s="1619" t="s">
        <v>166</v>
      </c>
      <c r="N49" s="1618"/>
      <c r="P49" t="s">
        <v>743</v>
      </c>
    </row>
    <row r="50" spans="8:16" ht="13.5" thickBot="1">
      <c r="I50" s="50" t="s">
        <v>154</v>
      </c>
      <c r="J50" s="88">
        <f>N54</f>
        <v>0.41628959276018096</v>
      </c>
      <c r="K50" s="4" t="s">
        <v>155</v>
      </c>
      <c r="M50" s="47" t="s">
        <v>107</v>
      </c>
      <c r="N50" s="89">
        <v>300000</v>
      </c>
    </row>
    <row r="51" spans="8:16" ht="12.75">
      <c r="M51" s="47" t="s">
        <v>167</v>
      </c>
      <c r="N51" s="89">
        <v>22500</v>
      </c>
    </row>
    <row r="52" spans="8:16" ht="12.75">
      <c r="M52" s="47" t="s">
        <v>168</v>
      </c>
      <c r="N52" s="48">
        <f>552500</f>
        <v>552500</v>
      </c>
    </row>
    <row r="53" spans="8:16" ht="12.75">
      <c r="M53" s="47" t="s">
        <v>170</v>
      </c>
      <c r="N53" s="87">
        <f>SUM(N50:N51)/N52</f>
        <v>0.58371040723981904</v>
      </c>
      <c r="O53" s="186" t="s">
        <v>415</v>
      </c>
    </row>
    <row r="54" spans="8:16" ht="15.75" customHeight="1" thickBot="1">
      <c r="H54" s="1638" t="s">
        <v>359</v>
      </c>
      <c r="I54" s="1638"/>
      <c r="J54" s="1638"/>
      <c r="M54" s="50" t="s">
        <v>171</v>
      </c>
      <c r="N54" s="88">
        <f>1-N53</f>
        <v>0.41628959276018096</v>
      </c>
      <c r="O54" s="186" t="s">
        <v>414</v>
      </c>
    </row>
    <row r="55" spans="8:16" ht="15.75" customHeight="1" thickBot="1">
      <c r="H55" s="1638"/>
      <c r="I55" s="1638"/>
      <c r="J55" s="1638"/>
    </row>
    <row r="56" spans="8:16" ht="15.75" customHeight="1">
      <c r="H56" s="1638"/>
      <c r="I56" s="1638"/>
      <c r="J56" s="1638"/>
      <c r="M56" s="91" t="s">
        <v>172</v>
      </c>
      <c r="N56" s="92"/>
    </row>
    <row r="57" spans="8:16" ht="15.75" customHeight="1">
      <c r="H57" s="1638"/>
      <c r="I57" s="1638"/>
      <c r="J57" s="1638"/>
      <c r="M57" s="294" t="s">
        <v>413</v>
      </c>
      <c r="N57" s="48">
        <v>30000</v>
      </c>
    </row>
    <row r="58" spans="8:16" ht="15.75" customHeight="1">
      <c r="M58" s="47" t="s">
        <v>174</v>
      </c>
      <c r="N58" s="48">
        <v>50000</v>
      </c>
    </row>
    <row r="59" spans="8:16" ht="15.75" customHeight="1">
      <c r="M59" s="47" t="s">
        <v>175</v>
      </c>
      <c r="N59" s="48">
        <v>150000</v>
      </c>
    </row>
    <row r="60" spans="8:16" ht="15.75" customHeight="1" thickBot="1">
      <c r="H60" t="s">
        <v>369</v>
      </c>
      <c r="M60" s="85" t="s">
        <v>176</v>
      </c>
      <c r="N60" s="93">
        <v>230000</v>
      </c>
    </row>
  </sheetData>
  <mergeCells count="4">
    <mergeCell ref="J30:O32"/>
    <mergeCell ref="M41:N41"/>
    <mergeCell ref="M49:N49"/>
    <mergeCell ref="H54:J57"/>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F9D74-A0EA-4357-BD16-EB302ADED4BA}">
  <dimension ref="C15:V58"/>
  <sheetViews>
    <sheetView topLeftCell="A28" workbookViewId="0">
      <selection activeCell="J55" sqref="J55"/>
    </sheetView>
  </sheetViews>
  <sheetFormatPr defaultRowHeight="12.75"/>
  <cols>
    <col min="3" max="3" width="35.42578125" bestFit="1" customWidth="1"/>
    <col min="4" max="4" width="14.28515625" customWidth="1"/>
    <col min="5" max="8" width="10.7109375" bestFit="1" customWidth="1"/>
    <col min="9" max="9" width="16.42578125" customWidth="1"/>
    <col min="10" max="10" width="13.7109375" customWidth="1"/>
    <col min="15" max="15" width="35.42578125" bestFit="1" customWidth="1"/>
    <col min="16" max="16" width="10.28515625" bestFit="1" customWidth="1"/>
    <col min="17" max="18" width="10.7109375" bestFit="1" customWidth="1"/>
    <col min="19" max="19" width="16.140625" customWidth="1"/>
    <col min="20" max="21" width="10.7109375" bestFit="1" customWidth="1"/>
    <col min="22" max="22" width="10.28515625" bestFit="1" customWidth="1"/>
  </cols>
  <sheetData>
    <row r="15" spans="8:10">
      <c r="H15" s="25" t="s">
        <v>362</v>
      </c>
      <c r="I15" s="25">
        <v>0.8</v>
      </c>
      <c r="J15" s="25">
        <v>0.5</v>
      </c>
    </row>
    <row r="16" spans="8:10">
      <c r="H16" s="25" t="s">
        <v>181</v>
      </c>
      <c r="I16" s="25">
        <v>3</v>
      </c>
      <c r="J16" s="25">
        <v>2.5</v>
      </c>
    </row>
    <row r="17" spans="3:21">
      <c r="H17" s="25" t="s">
        <v>363</v>
      </c>
      <c r="I17" s="25">
        <v>5.4</v>
      </c>
      <c r="J17" s="25">
        <v>5.2</v>
      </c>
    </row>
    <row r="18" spans="3:21">
      <c r="H18" s="25" t="s">
        <v>364</v>
      </c>
      <c r="I18" s="271">
        <f>SUM(I15:I17)</f>
        <v>9.1999999999999993</v>
      </c>
      <c r="J18" s="271">
        <f>SUM(J15:J17)</f>
        <v>8.1999999999999993</v>
      </c>
    </row>
    <row r="22" spans="3:21">
      <c r="P22" t="s">
        <v>366</v>
      </c>
    </row>
    <row r="31" spans="3:21">
      <c r="C31" s="272" t="s">
        <v>365</v>
      </c>
      <c r="D31" s="25"/>
      <c r="E31" s="25">
        <v>200</v>
      </c>
      <c r="F31" s="25">
        <v>200</v>
      </c>
      <c r="G31" s="25">
        <v>200</v>
      </c>
      <c r="H31" s="25">
        <f>G31*1.25</f>
        <v>250</v>
      </c>
      <c r="I31" s="273">
        <f>H31*1.25</f>
        <v>312.5</v>
      </c>
      <c r="O31" s="272" t="s">
        <v>365</v>
      </c>
      <c r="Q31" s="25">
        <v>200</v>
      </c>
      <c r="R31" s="25">
        <v>200</v>
      </c>
      <c r="S31" s="25">
        <v>200</v>
      </c>
      <c r="T31" s="25">
        <f>S31*1.25</f>
        <v>250</v>
      </c>
      <c r="U31" s="273">
        <f>T31*1.25</f>
        <v>312.5</v>
      </c>
    </row>
    <row r="32" spans="3:21">
      <c r="C32" s="27" t="s">
        <v>361</v>
      </c>
      <c r="D32" s="27" t="s">
        <v>112</v>
      </c>
      <c r="E32" s="27" t="s">
        <v>113</v>
      </c>
      <c r="F32" s="27" t="s">
        <v>114</v>
      </c>
      <c r="G32" s="27" t="s">
        <v>115</v>
      </c>
      <c r="H32" s="27" t="s">
        <v>116</v>
      </c>
      <c r="I32" s="27" t="s">
        <v>117</v>
      </c>
      <c r="O32" s="27" t="s">
        <v>360</v>
      </c>
      <c r="P32" s="27" t="s">
        <v>112</v>
      </c>
      <c r="Q32" s="27" t="s">
        <v>113</v>
      </c>
      <c r="R32" s="27" t="s">
        <v>114</v>
      </c>
      <c r="S32" s="27" t="s">
        <v>115</v>
      </c>
      <c r="T32" s="27" t="s">
        <v>116</v>
      </c>
      <c r="U32" s="27" t="s">
        <v>117</v>
      </c>
    </row>
    <row r="33" spans="3:21">
      <c r="C33" s="269" t="s">
        <v>118</v>
      </c>
      <c r="D33" s="270"/>
      <c r="E33" s="270"/>
      <c r="F33" s="270"/>
      <c r="G33" s="270"/>
      <c r="H33" s="270"/>
      <c r="I33" s="270"/>
      <c r="O33" s="269" t="s">
        <v>118</v>
      </c>
      <c r="P33" s="270"/>
      <c r="Q33" s="270"/>
      <c r="R33" s="270"/>
      <c r="S33" s="270"/>
      <c r="T33" s="270"/>
      <c r="U33" s="270"/>
    </row>
    <row r="34" spans="3:21">
      <c r="C34" s="25" t="s">
        <v>356</v>
      </c>
      <c r="D34" s="26"/>
      <c r="E34" s="26"/>
      <c r="F34" s="26"/>
      <c r="G34" s="26"/>
      <c r="H34" s="26"/>
      <c r="I34" s="26">
        <f>D53*-1*0.3</f>
        <v>600</v>
      </c>
      <c r="O34" s="25" t="s">
        <v>356</v>
      </c>
      <c r="P34" s="26"/>
      <c r="Q34" s="26"/>
      <c r="R34" s="26"/>
      <c r="S34" s="26"/>
      <c r="T34" s="26"/>
      <c r="U34" s="26">
        <f>P53*-1*0.5</f>
        <v>1750</v>
      </c>
    </row>
    <row r="35" spans="3:21">
      <c r="C35" s="25" t="s">
        <v>119</v>
      </c>
      <c r="D35" s="26"/>
      <c r="E35" s="26"/>
      <c r="F35" s="26"/>
      <c r="G35" s="26"/>
      <c r="H35" s="26"/>
      <c r="I35" s="26"/>
      <c r="O35" s="25" t="s">
        <v>119</v>
      </c>
      <c r="P35" s="26"/>
      <c r="Q35" s="26"/>
      <c r="R35" s="26"/>
      <c r="S35" s="26"/>
      <c r="T35" s="26"/>
      <c r="U35" s="26"/>
    </row>
    <row r="36" spans="3:21">
      <c r="C36" s="25" t="s">
        <v>332</v>
      </c>
      <c r="D36" s="26"/>
      <c r="E36" s="26"/>
      <c r="F36" s="26"/>
      <c r="G36" s="26"/>
      <c r="H36" s="26"/>
      <c r="I36" s="26"/>
      <c r="O36" s="25" t="s">
        <v>332</v>
      </c>
      <c r="P36" s="26"/>
      <c r="Q36" s="26"/>
      <c r="R36" s="26"/>
      <c r="S36" s="26"/>
      <c r="T36" s="26"/>
      <c r="U36" s="26"/>
    </row>
    <row r="37" spans="3:21">
      <c r="C37" s="269" t="s">
        <v>121</v>
      </c>
      <c r="D37" s="270"/>
      <c r="E37" s="270"/>
      <c r="F37" s="270"/>
      <c r="G37" s="270"/>
      <c r="H37" s="270"/>
      <c r="I37" s="270"/>
      <c r="O37" s="269" t="s">
        <v>121</v>
      </c>
      <c r="P37" s="270"/>
      <c r="Q37" s="270"/>
      <c r="R37" s="270"/>
      <c r="S37" s="270"/>
      <c r="T37" s="270"/>
      <c r="U37" s="270"/>
    </row>
    <row r="38" spans="3:21">
      <c r="C38" s="25" t="s">
        <v>122</v>
      </c>
      <c r="D38" s="26"/>
      <c r="E38" s="26">
        <f>-C68</f>
        <v>0</v>
      </c>
      <c r="F38" s="26">
        <f>-C69</f>
        <v>0</v>
      </c>
      <c r="G38" s="26">
        <f>-C70</f>
        <v>0</v>
      </c>
      <c r="H38" s="26">
        <f>-C71</f>
        <v>0</v>
      </c>
      <c r="I38" s="26">
        <f>-C72</f>
        <v>0</v>
      </c>
      <c r="O38" s="25" t="s">
        <v>122</v>
      </c>
      <c r="P38" s="26"/>
      <c r="Q38" s="26">
        <f>-O68</f>
        <v>0</v>
      </c>
      <c r="R38" s="26">
        <f>-O69</f>
        <v>0</v>
      </c>
      <c r="S38" s="26">
        <f>-O70</f>
        <v>0</v>
      </c>
      <c r="T38" s="26">
        <f>-O71</f>
        <v>0</v>
      </c>
      <c r="U38" s="26">
        <f>-O72</f>
        <v>0</v>
      </c>
    </row>
    <row r="39" spans="3:21">
      <c r="C39" s="25" t="s">
        <v>123</v>
      </c>
      <c r="D39" s="26"/>
      <c r="E39" s="26"/>
      <c r="F39" s="26"/>
      <c r="G39" s="26"/>
      <c r="H39" s="26"/>
      <c r="I39" s="26"/>
      <c r="O39" s="25" t="s">
        <v>123</v>
      </c>
      <c r="P39" s="26"/>
      <c r="Q39" s="26"/>
      <c r="R39" s="26"/>
      <c r="S39" s="26"/>
      <c r="T39" s="26"/>
      <c r="U39" s="26"/>
    </row>
    <row r="40" spans="3:21">
      <c r="C40" s="25" t="s">
        <v>124</v>
      </c>
      <c r="D40" s="26"/>
      <c r="E40" s="26">
        <f>-E31*I18</f>
        <v>-1839.9999999999998</v>
      </c>
      <c r="F40" s="26">
        <f>-F31*I18</f>
        <v>-1839.9999999999998</v>
      </c>
      <c r="G40" s="26">
        <f>-G31*I18</f>
        <v>-1839.9999999999998</v>
      </c>
      <c r="H40" s="26">
        <f>-H31*I18</f>
        <v>-2300</v>
      </c>
      <c r="I40" s="26">
        <f>-I31*I18</f>
        <v>-2875</v>
      </c>
      <c r="O40" s="25" t="s">
        <v>124</v>
      </c>
      <c r="P40" s="26"/>
      <c r="Q40" s="26">
        <f>-Q31*J18</f>
        <v>-1639.9999999999998</v>
      </c>
      <c r="R40" s="26">
        <f>-R31*J18</f>
        <v>-1639.9999999999998</v>
      </c>
      <c r="S40" s="26">
        <f>-S31*J18</f>
        <v>-1639.9999999999998</v>
      </c>
      <c r="T40" s="26">
        <f>-T31*J18*0.9</f>
        <v>-1845</v>
      </c>
      <c r="U40" s="26">
        <f>-U31*J18</f>
        <v>-2562.5</v>
      </c>
    </row>
    <row r="41" spans="3:21">
      <c r="C41" s="267" t="s">
        <v>125</v>
      </c>
      <c r="D41" s="268"/>
      <c r="E41" s="268"/>
      <c r="F41" s="268"/>
      <c r="G41" s="268"/>
      <c r="H41" s="268"/>
      <c r="I41" s="268"/>
      <c r="O41" s="267" t="s">
        <v>125</v>
      </c>
      <c r="P41" s="268"/>
      <c r="Q41" s="268"/>
      <c r="R41" s="268"/>
      <c r="S41" s="268"/>
      <c r="T41" s="268"/>
      <c r="U41" s="268"/>
    </row>
    <row r="42" spans="3:21">
      <c r="C42" s="25" t="s">
        <v>126</v>
      </c>
      <c r="D42" s="26"/>
      <c r="E42" s="26">
        <f>D53/4</f>
        <v>-500</v>
      </c>
      <c r="F42" s="26">
        <f>D53/4</f>
        <v>-500</v>
      </c>
      <c r="G42" s="26">
        <f>D53/4</f>
        <v>-500</v>
      </c>
      <c r="H42" s="26">
        <f>D53/4</f>
        <v>-500</v>
      </c>
      <c r="I42" s="26"/>
      <c r="O42" s="25" t="s">
        <v>126</v>
      </c>
      <c r="P42" s="26"/>
      <c r="Q42" s="26">
        <f>P53/4</f>
        <v>-875</v>
      </c>
      <c r="R42" s="26">
        <f>P53/4</f>
        <v>-875</v>
      </c>
      <c r="S42" s="26">
        <f>P53/4</f>
        <v>-875</v>
      </c>
      <c r="T42" s="26">
        <f>P53/4</f>
        <v>-875</v>
      </c>
      <c r="U42" s="26"/>
    </row>
    <row r="43" spans="3:21">
      <c r="C43" s="25" t="s">
        <v>127</v>
      </c>
      <c r="D43" s="26"/>
      <c r="E43" s="26"/>
      <c r="F43" s="26"/>
      <c r="G43" s="26"/>
      <c r="H43" s="26"/>
      <c r="I43" s="26"/>
      <c r="O43" s="25" t="s">
        <v>127</v>
      </c>
      <c r="P43" s="26"/>
      <c r="Q43" s="26"/>
      <c r="R43" s="26"/>
      <c r="S43" s="26"/>
      <c r="T43" s="26"/>
      <c r="U43" s="26"/>
    </row>
    <row r="44" spans="3:21">
      <c r="C44" s="25" t="s">
        <v>129</v>
      </c>
      <c r="D44" s="26"/>
      <c r="E44" s="26"/>
      <c r="F44" s="26"/>
      <c r="G44" s="26"/>
      <c r="H44" s="26"/>
      <c r="I44" s="26"/>
      <c r="O44" s="25" t="s">
        <v>129</v>
      </c>
      <c r="P44" s="26"/>
      <c r="Q44" s="26"/>
      <c r="R44" s="26"/>
      <c r="S44" s="26"/>
      <c r="T44" s="26"/>
      <c r="U44" s="26"/>
    </row>
    <row r="45" spans="3:21">
      <c r="C45" s="25" t="s">
        <v>333</v>
      </c>
      <c r="D45" s="26"/>
      <c r="E45" s="26"/>
      <c r="F45" s="26"/>
      <c r="G45" s="26"/>
      <c r="H45" s="26">
        <v>0</v>
      </c>
      <c r="I45" s="26"/>
      <c r="O45" s="25" t="s">
        <v>333</v>
      </c>
      <c r="P45" s="26"/>
      <c r="Q45" s="26"/>
      <c r="R45" s="26"/>
      <c r="S45" s="26"/>
      <c r="T45" s="26">
        <f>U42</f>
        <v>0</v>
      </c>
      <c r="U45" s="26"/>
    </row>
    <row r="46" spans="3:21">
      <c r="C46" s="25" t="s">
        <v>334</v>
      </c>
      <c r="D46" s="26"/>
      <c r="E46" s="26"/>
      <c r="F46" s="26"/>
      <c r="G46" s="26"/>
      <c r="H46" s="26"/>
      <c r="I46" s="26"/>
      <c r="O46" s="25" t="s">
        <v>334</v>
      </c>
      <c r="P46" s="26"/>
      <c r="Q46" s="26"/>
      <c r="R46" s="26"/>
      <c r="S46" s="26"/>
      <c r="T46" s="26"/>
      <c r="U46" s="26"/>
    </row>
    <row r="47" spans="3:21" ht="14.25">
      <c r="C47" s="31" t="s">
        <v>130</v>
      </c>
      <c r="D47" s="32"/>
      <c r="E47" s="32">
        <f>SUM(E33:E46)</f>
        <v>-2340</v>
      </c>
      <c r="F47" s="32">
        <f>SUM(F33:F46)</f>
        <v>-2340</v>
      </c>
      <c r="G47" s="32">
        <f>SUM(G33:G46)</f>
        <v>-2340</v>
      </c>
      <c r="H47" s="32">
        <f>SUM(H33:H46)</f>
        <v>-2800</v>
      </c>
      <c r="I47" s="32">
        <f>SUM(I33:I46)</f>
        <v>-2275</v>
      </c>
      <c r="O47" s="31" t="s">
        <v>130</v>
      </c>
      <c r="P47" s="32"/>
      <c r="Q47" s="32">
        <f>SUM(Q33:Q46)</f>
        <v>-2515</v>
      </c>
      <c r="R47" s="32">
        <f>SUM(R33:R46)</f>
        <v>-2515</v>
      </c>
      <c r="S47" s="32">
        <f>SUM(S33:S46)</f>
        <v>-2515</v>
      </c>
      <c r="T47" s="32">
        <f>SUM(T33:T46)</f>
        <v>-2720</v>
      </c>
      <c r="U47" s="32">
        <f>SUM(U33:U46)</f>
        <v>-812.5</v>
      </c>
    </row>
    <row r="48" spans="3:21">
      <c r="C48" s="33" t="s">
        <v>367</v>
      </c>
      <c r="D48" s="26"/>
      <c r="E48" s="26">
        <f>E47*0.15</f>
        <v>-351</v>
      </c>
      <c r="F48" s="26">
        <f>F47*0.15</f>
        <v>-351</v>
      </c>
      <c r="G48" s="26">
        <f>G47*0.15</f>
        <v>-351</v>
      </c>
      <c r="H48" s="26">
        <f>H47*0.15</f>
        <v>-420</v>
      </c>
      <c r="I48" s="26">
        <f>I47*0.15</f>
        <v>-341.25</v>
      </c>
      <c r="O48" s="33" t="s">
        <v>367</v>
      </c>
      <c r="P48" s="26"/>
      <c r="Q48" s="26">
        <f>Q47*0.15</f>
        <v>-377.25</v>
      </c>
      <c r="R48" s="26">
        <f>R47*0.15</f>
        <v>-377.25</v>
      </c>
      <c r="S48" s="26">
        <f>S47*0.15</f>
        <v>-377.25</v>
      </c>
      <c r="T48" s="26">
        <f>T47*0.15</f>
        <v>-408</v>
      </c>
      <c r="U48" s="26">
        <f>U47*0.15</f>
        <v>-121.875</v>
      </c>
    </row>
    <row r="49" spans="3:22" ht="28.5">
      <c r="C49" s="34" t="s">
        <v>132</v>
      </c>
      <c r="D49" s="35"/>
      <c r="E49" s="35">
        <f>E47-E48</f>
        <v>-1989</v>
      </c>
      <c r="F49" s="35">
        <f>F47-F48</f>
        <v>-1989</v>
      </c>
      <c r="G49" s="35">
        <f>G47-G48</f>
        <v>-1989</v>
      </c>
      <c r="H49" s="35">
        <f>H47-H48</f>
        <v>-2380</v>
      </c>
      <c r="I49" s="35">
        <f>I47-I48</f>
        <v>-1933.75</v>
      </c>
      <c r="O49" s="34" t="s">
        <v>132</v>
      </c>
      <c r="P49" s="35"/>
      <c r="Q49" s="35">
        <f>Q47-Q48</f>
        <v>-2137.75</v>
      </c>
      <c r="R49" s="35">
        <f>R47-R48</f>
        <v>-2137.75</v>
      </c>
      <c r="S49" s="35">
        <f>S47-S48</f>
        <v>-2137.75</v>
      </c>
      <c r="T49" s="35">
        <f>T47-T48</f>
        <v>-2312</v>
      </c>
      <c r="U49" s="35">
        <f>U47-U48</f>
        <v>-690.625</v>
      </c>
    </row>
    <row r="50" spans="3:22">
      <c r="C50" s="33" t="s">
        <v>133</v>
      </c>
      <c r="D50" s="26"/>
      <c r="E50" s="26">
        <f>-SUM(E42:E46)</f>
        <v>500</v>
      </c>
      <c r="F50" s="26">
        <f>-SUM(F42:F46)</f>
        <v>500</v>
      </c>
      <c r="G50" s="26">
        <f>-SUM(G42:G46)</f>
        <v>500</v>
      </c>
      <c r="H50" s="26">
        <f>-SUM(H42:H46)</f>
        <v>500</v>
      </c>
      <c r="I50" s="26">
        <f>-SUM(I42:I46)</f>
        <v>0</v>
      </c>
      <c r="O50" s="33" t="s">
        <v>133</v>
      </c>
      <c r="P50" s="26"/>
      <c r="Q50" s="26">
        <f>-SUM(Q42:Q46)</f>
        <v>875</v>
      </c>
      <c r="R50" s="26">
        <f>-SUM(R42:R46)</f>
        <v>875</v>
      </c>
      <c r="S50" s="26">
        <f>-SUM(S42:S46)</f>
        <v>875</v>
      </c>
      <c r="T50" s="26">
        <f>-SUM(T42:T46)</f>
        <v>875</v>
      </c>
      <c r="U50" s="26">
        <f>-SUM(U42:U46)</f>
        <v>0</v>
      </c>
    </row>
    <row r="51" spans="3:22">
      <c r="C51" s="25" t="s">
        <v>134</v>
      </c>
      <c r="D51" s="26"/>
      <c r="E51" s="26">
        <f>-D68</f>
        <v>0</v>
      </c>
      <c r="F51" s="26">
        <f>-D69</f>
        <v>0</v>
      </c>
      <c r="G51" s="26">
        <f>-D70</f>
        <v>0</v>
      </c>
      <c r="H51" s="26">
        <f>-D71</f>
        <v>0</v>
      </c>
      <c r="I51" s="26">
        <f>-D72</f>
        <v>0</v>
      </c>
      <c r="O51" s="25" t="s">
        <v>134</v>
      </c>
      <c r="P51" s="26"/>
      <c r="Q51" s="26">
        <f>-P68</f>
        <v>0</v>
      </c>
      <c r="R51" s="26">
        <f>-P69</f>
        <v>0</v>
      </c>
      <c r="S51" s="26">
        <f>-P70</f>
        <v>0</v>
      </c>
      <c r="T51" s="26">
        <f>-P71</f>
        <v>0</v>
      </c>
      <c r="U51" s="26">
        <f>-P72</f>
        <v>0</v>
      </c>
    </row>
    <row r="52" spans="3:22">
      <c r="C52" s="25" t="s">
        <v>135</v>
      </c>
      <c r="D52" s="26"/>
      <c r="E52" s="26"/>
      <c r="F52" s="26"/>
      <c r="G52" s="26"/>
      <c r="H52" s="26"/>
      <c r="I52" s="26"/>
      <c r="O52" s="25" t="s">
        <v>135</v>
      </c>
      <c r="P52" s="26"/>
      <c r="Q52" s="26"/>
      <c r="R52" s="26"/>
      <c r="S52" s="26"/>
      <c r="T52" s="26"/>
      <c r="U52" s="26"/>
    </row>
    <row r="53" spans="3:22">
      <c r="C53" s="25" t="s">
        <v>136</v>
      </c>
      <c r="D53" s="26">
        <v>-2000</v>
      </c>
      <c r="E53" s="26"/>
      <c r="F53" s="26"/>
      <c r="G53" s="26"/>
      <c r="H53" s="26"/>
      <c r="I53" s="26"/>
      <c r="O53" s="25" t="s">
        <v>136</v>
      </c>
      <c r="P53" s="26">
        <v>-3500</v>
      </c>
      <c r="Q53" s="26"/>
      <c r="R53" s="26"/>
      <c r="S53" s="26"/>
      <c r="T53" s="26"/>
      <c r="U53" s="26"/>
    </row>
    <row r="54" spans="3:22">
      <c r="C54" s="25" t="s">
        <v>137</v>
      </c>
      <c r="D54" s="26">
        <v>0</v>
      </c>
      <c r="E54" s="26"/>
      <c r="F54" s="26"/>
      <c r="G54" s="26"/>
      <c r="H54" s="26"/>
      <c r="I54" s="26"/>
      <c r="O54" s="25" t="s">
        <v>137</v>
      </c>
      <c r="P54" s="26">
        <v>0</v>
      </c>
      <c r="Q54" s="26"/>
      <c r="R54" s="26"/>
      <c r="S54" s="26"/>
      <c r="T54" s="26"/>
      <c r="U54" s="26"/>
    </row>
    <row r="55" spans="3:22" ht="14.25">
      <c r="C55" s="37" t="s">
        <v>139</v>
      </c>
      <c r="D55" s="35">
        <f t="shared" ref="D55:I55" si="0">SUM(D49:D54)</f>
        <v>-2000</v>
      </c>
      <c r="E55" s="35">
        <f t="shared" si="0"/>
        <v>-1489</v>
      </c>
      <c r="F55" s="35">
        <f t="shared" si="0"/>
        <v>-1489</v>
      </c>
      <c r="G55" s="35">
        <f t="shared" si="0"/>
        <v>-1489</v>
      </c>
      <c r="H55" s="35">
        <f t="shared" si="0"/>
        <v>-1880</v>
      </c>
      <c r="I55" s="35">
        <f t="shared" si="0"/>
        <v>-1933.75</v>
      </c>
      <c r="J55" s="275">
        <f>NPV(10%,E55:I55)+D55</f>
        <v>-8187.6945191274799</v>
      </c>
      <c r="O55" s="37" t="s">
        <v>139</v>
      </c>
      <c r="P55" s="35">
        <f t="shared" ref="P55:U55" si="1">SUM(P49:P54)</f>
        <v>-3500</v>
      </c>
      <c r="Q55" s="35">
        <f t="shared" si="1"/>
        <v>-1262.75</v>
      </c>
      <c r="R55" s="35">
        <f t="shared" si="1"/>
        <v>-1262.75</v>
      </c>
      <c r="S55" s="35">
        <f t="shared" si="1"/>
        <v>-1262.75</v>
      </c>
      <c r="T55" s="35">
        <f t="shared" si="1"/>
        <v>-1437</v>
      </c>
      <c r="U55" s="35">
        <f t="shared" si="1"/>
        <v>-690.625</v>
      </c>
      <c r="V55" s="276">
        <f>NPV(10%,Q55:U55)+P55</f>
        <v>-8050.586475712661</v>
      </c>
    </row>
    <row r="56" spans="3:22">
      <c r="C56" s="3"/>
      <c r="E56" s="5"/>
      <c r="F56" s="5"/>
      <c r="G56" s="5"/>
      <c r="H56" s="5"/>
      <c r="I56" s="5"/>
    </row>
    <row r="58" spans="3:22" ht="38.25">
      <c r="S58" s="258" t="s">
        <v>368</v>
      </c>
      <c r="T58" s="274">
        <f>-(J55-V55)</f>
        <v>137.10804341481889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G1000"/>
  <sheetViews>
    <sheetView workbookViewId="0">
      <selection activeCell="A2" sqref="A2"/>
    </sheetView>
  </sheetViews>
  <sheetFormatPr defaultColWidth="14.42578125" defaultRowHeight="15.75" customHeight="1"/>
  <sheetData>
    <row r="1" spans="1:7">
      <c r="A1" s="1" t="s">
        <v>0</v>
      </c>
      <c r="B1" s="2" t="s">
        <v>1</v>
      </c>
      <c r="C1" s="2" t="s">
        <v>2</v>
      </c>
      <c r="D1" s="1" t="s">
        <v>3</v>
      </c>
      <c r="E1" s="2" t="s">
        <v>4</v>
      </c>
      <c r="F1" s="2" t="s">
        <v>5</v>
      </c>
    </row>
    <row r="2" spans="1:7">
      <c r="A2" s="3">
        <v>0.05</v>
      </c>
      <c r="B2" s="4">
        <v>12</v>
      </c>
      <c r="C2" s="4">
        <v>12</v>
      </c>
      <c r="D2" s="3">
        <f>(((1+(A2/B2))^C2)-1)</f>
        <v>5.116189788173342E-2</v>
      </c>
      <c r="E2" s="4">
        <v>10000</v>
      </c>
      <c r="F2" s="5">
        <f>E2*(D2+1)</f>
        <v>10511.618978817334</v>
      </c>
    </row>
    <row r="3" spans="1:7">
      <c r="A3" s="3">
        <v>0.06</v>
      </c>
      <c r="B3" s="4">
        <v>2</v>
      </c>
      <c r="C3" s="4">
        <v>2</v>
      </c>
      <c r="D3" s="3">
        <f>(((1+(A3/B3))^C3)-1)</f>
        <v>6.0899999999999954E-2</v>
      </c>
      <c r="E3" s="4">
        <v>10000</v>
      </c>
      <c r="F3" s="5">
        <f>E3*(D3+1)</f>
        <v>10609</v>
      </c>
    </row>
    <row r="4" spans="1:7">
      <c r="A4" s="3"/>
      <c r="D4" s="3"/>
      <c r="F4" s="6">
        <f>F2-F3</f>
        <v>-97.381021182665791</v>
      </c>
      <c r="G4" s="4" t="s">
        <v>12</v>
      </c>
    </row>
    <row r="5" spans="1:7">
      <c r="A5" s="3"/>
      <c r="D5" s="3"/>
    </row>
    <row r="6" spans="1:7">
      <c r="A6" s="3"/>
      <c r="D6" s="3"/>
    </row>
    <row r="7" spans="1:7">
      <c r="A7" s="3"/>
      <c r="D7" s="3"/>
    </row>
    <row r="8" spans="1:7">
      <c r="A8" s="3"/>
      <c r="D8" s="3"/>
    </row>
    <row r="9" spans="1:7">
      <c r="A9" s="3"/>
      <c r="D9" s="3"/>
    </row>
    <row r="10" spans="1:7">
      <c r="A10" s="3"/>
      <c r="D10" s="3"/>
    </row>
    <row r="11" spans="1:7">
      <c r="A11" s="3"/>
      <c r="D11" s="3"/>
    </row>
    <row r="12" spans="1:7">
      <c r="A12" s="3"/>
      <c r="D12" s="3"/>
    </row>
    <row r="13" spans="1:7">
      <c r="A13" s="3"/>
      <c r="D13" s="3"/>
    </row>
    <row r="14" spans="1:7">
      <c r="A14" s="3"/>
      <c r="D14" s="3"/>
    </row>
    <row r="15" spans="1:7">
      <c r="A15" s="3"/>
      <c r="D15" s="3"/>
    </row>
    <row r="16" spans="1:7">
      <c r="A16" s="3"/>
      <c r="D16" s="3"/>
    </row>
    <row r="17" spans="1:4">
      <c r="A17" s="3"/>
      <c r="D17" s="3"/>
    </row>
    <row r="18" spans="1:4">
      <c r="A18" s="3"/>
      <c r="D18" s="3"/>
    </row>
    <row r="19" spans="1:4">
      <c r="A19" s="3"/>
      <c r="D19" s="3"/>
    </row>
    <row r="20" spans="1:4">
      <c r="A20" s="3"/>
      <c r="D20" s="3"/>
    </row>
    <row r="21" spans="1:4">
      <c r="A21" s="3"/>
      <c r="D21" s="3"/>
    </row>
    <row r="22" spans="1:4">
      <c r="A22" s="3"/>
      <c r="D22" s="3"/>
    </row>
    <row r="23" spans="1:4">
      <c r="A23" s="3"/>
      <c r="D23" s="3"/>
    </row>
    <row r="24" spans="1:4">
      <c r="A24" s="3"/>
      <c r="D24" s="3"/>
    </row>
    <row r="25" spans="1:4">
      <c r="A25" s="3"/>
      <c r="D25" s="3"/>
    </row>
    <row r="26" spans="1:4">
      <c r="A26" s="3"/>
      <c r="D26" s="3"/>
    </row>
    <row r="27" spans="1:4">
      <c r="A27" s="3"/>
      <c r="D27" s="3"/>
    </row>
    <row r="28" spans="1:4">
      <c r="A28" s="3"/>
      <c r="D28" s="3"/>
    </row>
    <row r="29" spans="1:4">
      <c r="A29" s="3"/>
      <c r="D29" s="3"/>
    </row>
    <row r="30" spans="1:4">
      <c r="A30" s="3"/>
      <c r="D30" s="3"/>
    </row>
    <row r="31" spans="1:4">
      <c r="A31" s="3"/>
      <c r="D31" s="3"/>
    </row>
    <row r="32" spans="1:4">
      <c r="A32" s="3"/>
      <c r="D32" s="3"/>
    </row>
    <row r="33" spans="1:4">
      <c r="A33" s="3"/>
      <c r="D33" s="3"/>
    </row>
    <row r="34" spans="1:4">
      <c r="A34" s="3"/>
      <c r="D34" s="3"/>
    </row>
    <row r="35" spans="1:4">
      <c r="A35" s="3"/>
      <c r="D35" s="3"/>
    </row>
    <row r="36" spans="1:4">
      <c r="A36" s="3"/>
      <c r="D36" s="3"/>
    </row>
    <row r="37" spans="1:4">
      <c r="A37" s="3"/>
      <c r="D37" s="3"/>
    </row>
    <row r="38" spans="1:4">
      <c r="A38" s="3"/>
      <c r="D38" s="3"/>
    </row>
    <row r="39" spans="1:4">
      <c r="A39" s="3"/>
      <c r="D39" s="3"/>
    </row>
    <row r="40" spans="1:4">
      <c r="A40" s="3"/>
      <c r="D40" s="3"/>
    </row>
    <row r="41" spans="1:4">
      <c r="A41" s="3"/>
      <c r="D41" s="3"/>
    </row>
    <row r="42" spans="1:4">
      <c r="A42" s="3"/>
      <c r="D42" s="3"/>
    </row>
    <row r="43" spans="1:4">
      <c r="A43" s="3"/>
      <c r="D43" s="3"/>
    </row>
    <row r="44" spans="1:4">
      <c r="A44" s="3"/>
      <c r="D44" s="3"/>
    </row>
    <row r="45" spans="1:4">
      <c r="A45" s="3"/>
      <c r="D45" s="3"/>
    </row>
    <row r="46" spans="1:4">
      <c r="A46" s="3"/>
      <c r="D46" s="3"/>
    </row>
    <row r="47" spans="1:4">
      <c r="A47" s="3"/>
      <c r="D47" s="3"/>
    </row>
    <row r="48" spans="1:4">
      <c r="A48" s="3"/>
      <c r="D48" s="3"/>
    </row>
    <row r="49" spans="1:4">
      <c r="A49" s="3"/>
      <c r="D49" s="3"/>
    </row>
    <row r="50" spans="1:4">
      <c r="A50" s="3"/>
      <c r="D50" s="3"/>
    </row>
    <row r="51" spans="1:4">
      <c r="A51" s="3"/>
      <c r="D51" s="3"/>
    </row>
    <row r="52" spans="1:4">
      <c r="A52" s="3"/>
      <c r="D52" s="3"/>
    </row>
    <row r="53" spans="1:4">
      <c r="A53" s="3"/>
      <c r="D53" s="3"/>
    </row>
    <row r="54" spans="1:4">
      <c r="A54" s="3"/>
      <c r="D54" s="3"/>
    </row>
    <row r="55" spans="1:4">
      <c r="A55" s="3"/>
      <c r="D55" s="3"/>
    </row>
    <row r="56" spans="1:4">
      <c r="A56" s="3"/>
      <c r="D56" s="3"/>
    </row>
    <row r="57" spans="1:4">
      <c r="A57" s="3"/>
      <c r="D57" s="3"/>
    </row>
    <row r="58" spans="1:4">
      <c r="A58" s="3"/>
      <c r="D58" s="3"/>
    </row>
    <row r="59" spans="1:4">
      <c r="A59" s="3"/>
      <c r="D59" s="3"/>
    </row>
    <row r="60" spans="1:4">
      <c r="A60" s="3"/>
      <c r="D60" s="3"/>
    </row>
    <row r="61" spans="1:4">
      <c r="A61" s="3"/>
      <c r="D61" s="3"/>
    </row>
    <row r="62" spans="1:4">
      <c r="A62" s="3"/>
      <c r="D62" s="3"/>
    </row>
    <row r="63" spans="1:4">
      <c r="A63" s="3"/>
      <c r="D63" s="3"/>
    </row>
    <row r="64" spans="1:4">
      <c r="A64" s="3"/>
      <c r="D64" s="3"/>
    </row>
    <row r="65" spans="1:4">
      <c r="A65" s="3"/>
      <c r="D65" s="3"/>
    </row>
    <row r="66" spans="1:4">
      <c r="A66" s="3"/>
      <c r="D66" s="3"/>
    </row>
    <row r="67" spans="1:4">
      <c r="A67" s="3"/>
      <c r="D67" s="3"/>
    </row>
    <row r="68" spans="1:4">
      <c r="A68" s="3"/>
      <c r="D68" s="3"/>
    </row>
    <row r="69" spans="1:4">
      <c r="A69" s="3"/>
      <c r="D69" s="3"/>
    </row>
    <row r="70" spans="1:4">
      <c r="A70" s="3"/>
      <c r="D70" s="3"/>
    </row>
    <row r="71" spans="1:4">
      <c r="A71" s="3"/>
      <c r="D71" s="3"/>
    </row>
    <row r="72" spans="1:4">
      <c r="A72" s="3"/>
      <c r="D72" s="3"/>
    </row>
    <row r="73" spans="1:4">
      <c r="A73" s="3"/>
      <c r="D73" s="3"/>
    </row>
    <row r="74" spans="1:4">
      <c r="A74" s="3"/>
      <c r="D74" s="3"/>
    </row>
    <row r="75" spans="1:4">
      <c r="A75" s="3"/>
      <c r="D75" s="3"/>
    </row>
    <row r="76" spans="1:4">
      <c r="A76" s="3"/>
      <c r="D76" s="3"/>
    </row>
    <row r="77" spans="1:4">
      <c r="A77" s="3"/>
      <c r="D77" s="3"/>
    </row>
    <row r="78" spans="1:4">
      <c r="A78" s="3"/>
      <c r="D78" s="3"/>
    </row>
    <row r="79" spans="1:4">
      <c r="A79" s="3"/>
      <c r="D79" s="3"/>
    </row>
    <row r="80" spans="1:4">
      <c r="A80" s="3"/>
      <c r="D80" s="3"/>
    </row>
    <row r="81" spans="1:4">
      <c r="A81" s="3"/>
      <c r="D81" s="3"/>
    </row>
    <row r="82" spans="1:4">
      <c r="A82" s="3"/>
      <c r="D82" s="3"/>
    </row>
    <row r="83" spans="1:4">
      <c r="A83" s="3"/>
      <c r="D83" s="3"/>
    </row>
    <row r="84" spans="1:4">
      <c r="A84" s="3"/>
      <c r="D84" s="3"/>
    </row>
    <row r="85" spans="1:4">
      <c r="A85" s="3"/>
      <c r="D85" s="3"/>
    </row>
    <row r="86" spans="1:4">
      <c r="A86" s="3"/>
      <c r="D86" s="3"/>
    </row>
    <row r="87" spans="1:4">
      <c r="A87" s="3"/>
      <c r="D87" s="3"/>
    </row>
    <row r="88" spans="1:4">
      <c r="A88" s="3"/>
      <c r="D88" s="3"/>
    </row>
    <row r="89" spans="1:4">
      <c r="A89" s="3"/>
      <c r="D89" s="3"/>
    </row>
    <row r="90" spans="1:4">
      <c r="A90" s="3"/>
      <c r="D90" s="3"/>
    </row>
    <row r="91" spans="1:4">
      <c r="A91" s="3"/>
      <c r="D91" s="3"/>
    </row>
    <row r="92" spans="1:4">
      <c r="A92" s="3"/>
      <c r="D92" s="3"/>
    </row>
    <row r="93" spans="1:4">
      <c r="A93" s="3"/>
      <c r="D93" s="3"/>
    </row>
    <row r="94" spans="1:4">
      <c r="A94" s="3"/>
      <c r="D94" s="3"/>
    </row>
    <row r="95" spans="1:4">
      <c r="A95" s="3"/>
      <c r="D95" s="3"/>
    </row>
    <row r="96" spans="1:4">
      <c r="A96" s="3"/>
      <c r="D96" s="3"/>
    </row>
    <row r="97" spans="1:4">
      <c r="A97" s="3"/>
      <c r="D97" s="3"/>
    </row>
    <row r="98" spans="1:4">
      <c r="A98" s="3"/>
      <c r="D98" s="3"/>
    </row>
    <row r="99" spans="1:4">
      <c r="A99" s="3"/>
      <c r="D99" s="3"/>
    </row>
    <row r="100" spans="1:4">
      <c r="A100" s="3"/>
      <c r="D100" s="3"/>
    </row>
    <row r="101" spans="1:4">
      <c r="A101" s="3"/>
      <c r="D101" s="3"/>
    </row>
    <row r="102" spans="1:4">
      <c r="A102" s="3"/>
      <c r="D102" s="3"/>
    </row>
    <row r="103" spans="1:4">
      <c r="A103" s="3"/>
      <c r="D103" s="3"/>
    </row>
    <row r="104" spans="1:4">
      <c r="A104" s="3"/>
      <c r="D104" s="3"/>
    </row>
    <row r="105" spans="1:4">
      <c r="A105" s="3"/>
      <c r="D105" s="3"/>
    </row>
    <row r="106" spans="1:4">
      <c r="A106" s="3"/>
      <c r="D106" s="3"/>
    </row>
    <row r="107" spans="1:4">
      <c r="A107" s="3"/>
      <c r="D107" s="3"/>
    </row>
    <row r="108" spans="1:4">
      <c r="A108" s="3"/>
      <c r="D108" s="3"/>
    </row>
    <row r="109" spans="1:4">
      <c r="A109" s="3"/>
      <c r="D109" s="3"/>
    </row>
    <row r="110" spans="1:4">
      <c r="A110" s="3"/>
      <c r="D110" s="3"/>
    </row>
    <row r="111" spans="1:4">
      <c r="A111" s="3"/>
      <c r="D111" s="3"/>
    </row>
    <row r="112" spans="1:4">
      <c r="A112" s="3"/>
      <c r="D112" s="3"/>
    </row>
    <row r="113" spans="1:4">
      <c r="A113" s="3"/>
      <c r="D113" s="3"/>
    </row>
    <row r="114" spans="1:4">
      <c r="A114" s="3"/>
      <c r="D114" s="3"/>
    </row>
    <row r="115" spans="1:4">
      <c r="A115" s="3"/>
      <c r="D115" s="3"/>
    </row>
    <row r="116" spans="1:4">
      <c r="A116" s="3"/>
      <c r="D116" s="3"/>
    </row>
    <row r="117" spans="1:4">
      <c r="A117" s="3"/>
      <c r="D117" s="3"/>
    </row>
    <row r="118" spans="1:4">
      <c r="A118" s="3"/>
      <c r="D118" s="3"/>
    </row>
    <row r="119" spans="1:4">
      <c r="A119" s="3"/>
      <c r="D119" s="3"/>
    </row>
    <row r="120" spans="1:4">
      <c r="A120" s="3"/>
      <c r="D120" s="3"/>
    </row>
    <row r="121" spans="1:4">
      <c r="A121" s="3"/>
      <c r="D121" s="3"/>
    </row>
    <row r="122" spans="1:4">
      <c r="A122" s="3"/>
      <c r="D122" s="3"/>
    </row>
    <row r="123" spans="1:4">
      <c r="A123" s="3"/>
      <c r="D123" s="3"/>
    </row>
    <row r="124" spans="1:4">
      <c r="A124" s="3"/>
      <c r="D124" s="3"/>
    </row>
    <row r="125" spans="1:4">
      <c r="A125" s="3"/>
      <c r="D125" s="3"/>
    </row>
    <row r="126" spans="1:4">
      <c r="A126" s="3"/>
      <c r="D126" s="3"/>
    </row>
    <row r="127" spans="1:4">
      <c r="A127" s="3"/>
      <c r="D127" s="3"/>
    </row>
    <row r="128" spans="1:4">
      <c r="A128" s="3"/>
      <c r="D128" s="3"/>
    </row>
    <row r="129" spans="1:4">
      <c r="A129" s="3"/>
      <c r="D129" s="3"/>
    </row>
    <row r="130" spans="1:4">
      <c r="A130" s="3"/>
      <c r="D130" s="3"/>
    </row>
    <row r="131" spans="1:4">
      <c r="A131" s="3"/>
      <c r="D131" s="3"/>
    </row>
    <row r="132" spans="1:4">
      <c r="A132" s="3"/>
      <c r="D132" s="3"/>
    </row>
    <row r="133" spans="1:4">
      <c r="A133" s="3"/>
      <c r="D133" s="3"/>
    </row>
    <row r="134" spans="1:4">
      <c r="A134" s="3"/>
      <c r="D134" s="3"/>
    </row>
    <row r="135" spans="1:4">
      <c r="A135" s="3"/>
      <c r="D135" s="3"/>
    </row>
    <row r="136" spans="1:4">
      <c r="A136" s="3"/>
      <c r="D136" s="3"/>
    </row>
    <row r="137" spans="1:4">
      <c r="A137" s="3"/>
      <c r="D137" s="3"/>
    </row>
    <row r="138" spans="1:4">
      <c r="A138" s="3"/>
      <c r="D138" s="3"/>
    </row>
    <row r="139" spans="1:4">
      <c r="A139" s="3"/>
      <c r="D139" s="3"/>
    </row>
    <row r="140" spans="1:4">
      <c r="A140" s="3"/>
      <c r="D140" s="3"/>
    </row>
    <row r="141" spans="1:4">
      <c r="A141" s="3"/>
      <c r="D141" s="3"/>
    </row>
    <row r="142" spans="1:4">
      <c r="A142" s="3"/>
      <c r="D142" s="3"/>
    </row>
    <row r="143" spans="1:4">
      <c r="A143" s="3"/>
      <c r="D143" s="3"/>
    </row>
    <row r="144" spans="1:4">
      <c r="A144" s="3"/>
      <c r="D144" s="3"/>
    </row>
    <row r="145" spans="1:4">
      <c r="A145" s="3"/>
      <c r="D145" s="3"/>
    </row>
    <row r="146" spans="1:4">
      <c r="A146" s="3"/>
      <c r="D146" s="3"/>
    </row>
    <row r="147" spans="1:4">
      <c r="A147" s="3"/>
      <c r="D147" s="3"/>
    </row>
    <row r="148" spans="1:4">
      <c r="A148" s="3"/>
      <c r="D148" s="3"/>
    </row>
    <row r="149" spans="1:4">
      <c r="A149" s="3"/>
      <c r="D149" s="3"/>
    </row>
    <row r="150" spans="1:4">
      <c r="A150" s="3"/>
      <c r="D150" s="3"/>
    </row>
    <row r="151" spans="1:4">
      <c r="A151" s="3"/>
      <c r="D151" s="3"/>
    </row>
    <row r="152" spans="1:4">
      <c r="A152" s="3"/>
      <c r="D152" s="3"/>
    </row>
    <row r="153" spans="1:4">
      <c r="A153" s="3"/>
      <c r="D153" s="3"/>
    </row>
    <row r="154" spans="1:4">
      <c r="A154" s="3"/>
      <c r="D154" s="3"/>
    </row>
    <row r="155" spans="1:4">
      <c r="A155" s="3"/>
      <c r="D155" s="3"/>
    </row>
    <row r="156" spans="1:4">
      <c r="A156" s="3"/>
      <c r="D156" s="3"/>
    </row>
    <row r="157" spans="1:4">
      <c r="A157" s="3"/>
      <c r="D157" s="3"/>
    </row>
    <row r="158" spans="1:4">
      <c r="A158" s="3"/>
      <c r="D158" s="3"/>
    </row>
    <row r="159" spans="1:4">
      <c r="A159" s="3"/>
      <c r="D159" s="3"/>
    </row>
    <row r="160" spans="1:4">
      <c r="A160" s="3"/>
      <c r="D160" s="3"/>
    </row>
    <row r="161" spans="1:4">
      <c r="A161" s="3"/>
      <c r="D161" s="3"/>
    </row>
    <row r="162" spans="1:4">
      <c r="A162" s="3"/>
      <c r="D162" s="3"/>
    </row>
    <row r="163" spans="1:4">
      <c r="A163" s="3"/>
      <c r="D163" s="3"/>
    </row>
    <row r="164" spans="1:4">
      <c r="A164" s="3"/>
      <c r="D164" s="3"/>
    </row>
    <row r="165" spans="1:4">
      <c r="A165" s="3"/>
      <c r="D165" s="3"/>
    </row>
    <row r="166" spans="1:4">
      <c r="A166" s="3"/>
      <c r="D166" s="3"/>
    </row>
    <row r="167" spans="1:4">
      <c r="A167" s="3"/>
      <c r="D167" s="3"/>
    </row>
    <row r="168" spans="1:4">
      <c r="A168" s="3"/>
      <c r="D168" s="3"/>
    </row>
    <row r="169" spans="1:4">
      <c r="A169" s="3"/>
      <c r="D169" s="3"/>
    </row>
    <row r="170" spans="1:4">
      <c r="A170" s="3"/>
      <c r="D170" s="3"/>
    </row>
    <row r="171" spans="1:4">
      <c r="A171" s="3"/>
      <c r="D171" s="3"/>
    </row>
    <row r="172" spans="1:4">
      <c r="A172" s="3"/>
      <c r="D172" s="3"/>
    </row>
    <row r="173" spans="1:4">
      <c r="A173" s="3"/>
      <c r="D173" s="3"/>
    </row>
    <row r="174" spans="1:4">
      <c r="A174" s="3"/>
      <c r="D174" s="3"/>
    </row>
    <row r="175" spans="1:4">
      <c r="A175" s="3"/>
      <c r="D175" s="3"/>
    </row>
    <row r="176" spans="1:4">
      <c r="A176" s="3"/>
      <c r="D176" s="3"/>
    </row>
    <row r="177" spans="1:4">
      <c r="A177" s="3"/>
      <c r="D177" s="3"/>
    </row>
    <row r="178" spans="1:4">
      <c r="A178" s="3"/>
      <c r="D178" s="3"/>
    </row>
    <row r="179" spans="1:4">
      <c r="A179" s="3"/>
      <c r="D179" s="3"/>
    </row>
    <row r="180" spans="1:4">
      <c r="A180" s="3"/>
      <c r="D180" s="3"/>
    </row>
    <row r="181" spans="1:4">
      <c r="A181" s="3"/>
      <c r="D181" s="3"/>
    </row>
    <row r="182" spans="1:4">
      <c r="A182" s="3"/>
      <c r="D182" s="3"/>
    </row>
    <row r="183" spans="1:4">
      <c r="A183" s="3"/>
      <c r="D183" s="3"/>
    </row>
    <row r="184" spans="1:4">
      <c r="A184" s="3"/>
      <c r="D184" s="3"/>
    </row>
    <row r="185" spans="1:4">
      <c r="A185" s="3"/>
      <c r="D185" s="3"/>
    </row>
    <row r="186" spans="1:4">
      <c r="A186" s="3"/>
      <c r="D186" s="3"/>
    </row>
    <row r="187" spans="1:4">
      <c r="A187" s="3"/>
      <c r="D187" s="3"/>
    </row>
    <row r="188" spans="1:4">
      <c r="A188" s="3"/>
      <c r="D188" s="3"/>
    </row>
    <row r="189" spans="1:4">
      <c r="A189" s="3"/>
      <c r="D189" s="3"/>
    </row>
    <row r="190" spans="1:4">
      <c r="A190" s="3"/>
      <c r="D190" s="3"/>
    </row>
    <row r="191" spans="1:4">
      <c r="A191" s="3"/>
      <c r="D191" s="3"/>
    </row>
    <row r="192" spans="1:4">
      <c r="A192" s="3"/>
      <c r="D192" s="3"/>
    </row>
    <row r="193" spans="1:4">
      <c r="A193" s="3"/>
      <c r="D193" s="3"/>
    </row>
    <row r="194" spans="1:4">
      <c r="A194" s="3"/>
      <c r="D194" s="3"/>
    </row>
    <row r="195" spans="1:4">
      <c r="A195" s="3"/>
      <c r="D195" s="3"/>
    </row>
    <row r="196" spans="1:4">
      <c r="A196" s="3"/>
      <c r="D196" s="3"/>
    </row>
    <row r="197" spans="1:4">
      <c r="A197" s="3"/>
      <c r="D197" s="3"/>
    </row>
    <row r="198" spans="1:4">
      <c r="A198" s="3"/>
      <c r="D198" s="3"/>
    </row>
    <row r="199" spans="1:4">
      <c r="A199" s="3"/>
      <c r="D199" s="3"/>
    </row>
    <row r="200" spans="1:4">
      <c r="A200" s="3"/>
      <c r="D200" s="3"/>
    </row>
    <row r="201" spans="1:4">
      <c r="A201" s="3"/>
      <c r="D201" s="3"/>
    </row>
    <row r="202" spans="1:4">
      <c r="A202" s="3"/>
      <c r="D202" s="3"/>
    </row>
    <row r="203" spans="1:4">
      <c r="A203" s="3"/>
      <c r="D203" s="3"/>
    </row>
    <row r="204" spans="1:4">
      <c r="A204" s="3"/>
      <c r="D204" s="3"/>
    </row>
    <row r="205" spans="1:4">
      <c r="A205" s="3"/>
      <c r="D205" s="3"/>
    </row>
    <row r="206" spans="1:4">
      <c r="A206" s="3"/>
      <c r="D206" s="3"/>
    </row>
    <row r="207" spans="1:4">
      <c r="A207" s="3"/>
      <c r="D207" s="3"/>
    </row>
    <row r="208" spans="1:4">
      <c r="A208" s="3"/>
      <c r="D208" s="3"/>
    </row>
    <row r="209" spans="1:4">
      <c r="A209" s="3"/>
      <c r="D209" s="3"/>
    </row>
    <row r="210" spans="1:4">
      <c r="A210" s="3"/>
      <c r="D210" s="3"/>
    </row>
    <row r="211" spans="1:4">
      <c r="A211" s="3"/>
      <c r="D211" s="3"/>
    </row>
    <row r="212" spans="1:4">
      <c r="A212" s="3"/>
      <c r="D212" s="3"/>
    </row>
    <row r="213" spans="1:4">
      <c r="A213" s="3"/>
      <c r="D213" s="3"/>
    </row>
    <row r="214" spans="1:4">
      <c r="A214" s="3"/>
      <c r="D214" s="3"/>
    </row>
    <row r="215" spans="1:4">
      <c r="A215" s="3"/>
      <c r="D215" s="3"/>
    </row>
    <row r="216" spans="1:4">
      <c r="A216" s="3"/>
      <c r="D216" s="3"/>
    </row>
    <row r="217" spans="1:4">
      <c r="A217" s="3"/>
      <c r="D217" s="3"/>
    </row>
    <row r="218" spans="1:4">
      <c r="A218" s="3"/>
      <c r="D218" s="3"/>
    </row>
    <row r="219" spans="1:4">
      <c r="A219" s="3"/>
      <c r="D219" s="3"/>
    </row>
    <row r="220" spans="1:4">
      <c r="A220" s="3"/>
      <c r="D220" s="3"/>
    </row>
    <row r="221" spans="1:4">
      <c r="A221" s="3"/>
      <c r="D221" s="3"/>
    </row>
    <row r="222" spans="1:4">
      <c r="A222" s="3"/>
      <c r="D222" s="3"/>
    </row>
    <row r="223" spans="1:4">
      <c r="A223" s="3"/>
      <c r="D223" s="3"/>
    </row>
    <row r="224" spans="1:4">
      <c r="A224" s="3"/>
      <c r="D224" s="3"/>
    </row>
    <row r="225" spans="1:4">
      <c r="A225" s="3"/>
      <c r="D225" s="3"/>
    </row>
    <row r="226" spans="1:4">
      <c r="A226" s="3"/>
      <c r="D226" s="3"/>
    </row>
    <row r="227" spans="1:4">
      <c r="A227" s="3"/>
      <c r="D227" s="3"/>
    </row>
    <row r="228" spans="1:4">
      <c r="A228" s="3"/>
      <c r="D228" s="3"/>
    </row>
    <row r="229" spans="1:4">
      <c r="A229" s="3"/>
      <c r="D229" s="3"/>
    </row>
    <row r="230" spans="1:4">
      <c r="A230" s="3"/>
      <c r="D230" s="3"/>
    </row>
    <row r="231" spans="1:4">
      <c r="A231" s="3"/>
      <c r="D231" s="3"/>
    </row>
    <row r="232" spans="1:4">
      <c r="A232" s="3"/>
      <c r="D232" s="3"/>
    </row>
    <row r="233" spans="1:4">
      <c r="A233" s="3"/>
      <c r="D233" s="3"/>
    </row>
    <row r="234" spans="1:4">
      <c r="A234" s="3"/>
      <c r="D234" s="3"/>
    </row>
    <row r="235" spans="1:4">
      <c r="A235" s="3"/>
      <c r="D235" s="3"/>
    </row>
    <row r="236" spans="1:4">
      <c r="A236" s="3"/>
      <c r="D236" s="3"/>
    </row>
    <row r="237" spans="1:4">
      <c r="A237" s="3"/>
      <c r="D237" s="3"/>
    </row>
    <row r="238" spans="1:4">
      <c r="A238" s="3"/>
      <c r="D238" s="3"/>
    </row>
    <row r="239" spans="1:4">
      <c r="A239" s="3"/>
      <c r="D239" s="3"/>
    </row>
    <row r="240" spans="1:4">
      <c r="A240" s="3"/>
      <c r="D240" s="3"/>
    </row>
    <row r="241" spans="1:4">
      <c r="A241" s="3"/>
      <c r="D241" s="3"/>
    </row>
    <row r="242" spans="1:4">
      <c r="A242" s="3"/>
      <c r="D242" s="3"/>
    </row>
    <row r="243" spans="1:4">
      <c r="A243" s="3"/>
      <c r="D243" s="3"/>
    </row>
    <row r="244" spans="1:4">
      <c r="A244" s="3"/>
      <c r="D244" s="3"/>
    </row>
    <row r="245" spans="1:4">
      <c r="A245" s="3"/>
      <c r="D245" s="3"/>
    </row>
    <row r="246" spans="1:4">
      <c r="A246" s="3"/>
      <c r="D246" s="3"/>
    </row>
    <row r="247" spans="1:4">
      <c r="A247" s="3"/>
      <c r="D247" s="3"/>
    </row>
    <row r="248" spans="1:4">
      <c r="A248" s="3"/>
      <c r="D248" s="3"/>
    </row>
    <row r="249" spans="1:4">
      <c r="A249" s="3"/>
      <c r="D249" s="3"/>
    </row>
    <row r="250" spans="1:4">
      <c r="A250" s="3"/>
      <c r="D250" s="3"/>
    </row>
    <row r="251" spans="1:4">
      <c r="A251" s="3"/>
      <c r="D251" s="3"/>
    </row>
    <row r="252" spans="1:4">
      <c r="A252" s="3"/>
      <c r="D252" s="3"/>
    </row>
    <row r="253" spans="1:4">
      <c r="A253" s="3"/>
      <c r="D253" s="3"/>
    </row>
    <row r="254" spans="1:4">
      <c r="A254" s="3"/>
      <c r="D254" s="3"/>
    </row>
    <row r="255" spans="1:4">
      <c r="A255" s="3"/>
      <c r="D255" s="3"/>
    </row>
    <row r="256" spans="1:4">
      <c r="A256" s="3"/>
      <c r="D256" s="3"/>
    </row>
    <row r="257" spans="1:4">
      <c r="A257" s="3"/>
      <c r="D257" s="3"/>
    </row>
    <row r="258" spans="1:4">
      <c r="A258" s="3"/>
      <c r="D258" s="3"/>
    </row>
    <row r="259" spans="1:4">
      <c r="A259" s="3"/>
      <c r="D259" s="3"/>
    </row>
    <row r="260" spans="1:4">
      <c r="A260" s="3"/>
      <c r="D260" s="3"/>
    </row>
    <row r="261" spans="1:4">
      <c r="A261" s="3"/>
      <c r="D261" s="3"/>
    </row>
    <row r="262" spans="1:4">
      <c r="A262" s="3"/>
      <c r="D262" s="3"/>
    </row>
    <row r="263" spans="1:4">
      <c r="A263" s="3"/>
      <c r="D263" s="3"/>
    </row>
    <row r="264" spans="1:4">
      <c r="A264" s="3"/>
      <c r="D264" s="3"/>
    </row>
    <row r="265" spans="1:4">
      <c r="A265" s="3"/>
      <c r="D265" s="3"/>
    </row>
    <row r="266" spans="1:4">
      <c r="A266" s="3"/>
      <c r="D266" s="3"/>
    </row>
    <row r="267" spans="1:4">
      <c r="A267" s="3"/>
      <c r="D267" s="3"/>
    </row>
    <row r="268" spans="1:4">
      <c r="A268" s="3"/>
      <c r="D268" s="3"/>
    </row>
    <row r="269" spans="1:4">
      <c r="A269" s="3"/>
      <c r="D269" s="3"/>
    </row>
    <row r="270" spans="1:4">
      <c r="A270" s="3"/>
      <c r="D270" s="3"/>
    </row>
    <row r="271" spans="1:4">
      <c r="A271" s="3"/>
      <c r="D271" s="3"/>
    </row>
    <row r="272" spans="1:4">
      <c r="A272" s="3"/>
      <c r="D272" s="3"/>
    </row>
    <row r="273" spans="1:4">
      <c r="A273" s="3"/>
      <c r="D273" s="3"/>
    </row>
    <row r="274" spans="1:4">
      <c r="A274" s="3"/>
      <c r="D274" s="3"/>
    </row>
    <row r="275" spans="1:4">
      <c r="A275" s="3"/>
      <c r="D275" s="3"/>
    </row>
    <row r="276" spans="1:4">
      <c r="A276" s="3"/>
      <c r="D276" s="3"/>
    </row>
    <row r="277" spans="1:4">
      <c r="A277" s="3"/>
      <c r="D277" s="3"/>
    </row>
    <row r="278" spans="1:4">
      <c r="A278" s="3"/>
      <c r="D278" s="3"/>
    </row>
    <row r="279" spans="1:4">
      <c r="A279" s="3"/>
      <c r="D279" s="3"/>
    </row>
    <row r="280" spans="1:4">
      <c r="A280" s="3"/>
      <c r="D280" s="3"/>
    </row>
    <row r="281" spans="1:4">
      <c r="A281" s="3"/>
      <c r="D281" s="3"/>
    </row>
    <row r="282" spans="1:4">
      <c r="A282" s="3"/>
      <c r="D282" s="3"/>
    </row>
    <row r="283" spans="1:4">
      <c r="A283" s="3"/>
      <c r="D283" s="3"/>
    </row>
    <row r="284" spans="1:4">
      <c r="A284" s="3"/>
      <c r="D284" s="3"/>
    </row>
    <row r="285" spans="1:4">
      <c r="A285" s="3"/>
      <c r="D285" s="3"/>
    </row>
    <row r="286" spans="1:4">
      <c r="A286" s="3"/>
      <c r="D286" s="3"/>
    </row>
    <row r="287" spans="1:4">
      <c r="A287" s="3"/>
      <c r="D287" s="3"/>
    </row>
    <row r="288" spans="1:4">
      <c r="A288" s="3"/>
      <c r="D288" s="3"/>
    </row>
    <row r="289" spans="1:4">
      <c r="A289" s="3"/>
      <c r="D289" s="3"/>
    </row>
    <row r="290" spans="1:4">
      <c r="A290" s="3"/>
      <c r="D290" s="3"/>
    </row>
    <row r="291" spans="1:4">
      <c r="A291" s="3"/>
      <c r="D291" s="3"/>
    </row>
    <row r="292" spans="1:4">
      <c r="A292" s="3"/>
      <c r="D292" s="3"/>
    </row>
    <row r="293" spans="1:4">
      <c r="A293" s="3"/>
      <c r="D293" s="3"/>
    </row>
    <row r="294" spans="1:4">
      <c r="A294" s="3"/>
      <c r="D294" s="3"/>
    </row>
    <row r="295" spans="1:4">
      <c r="A295" s="3"/>
      <c r="D295" s="3"/>
    </row>
    <row r="296" spans="1:4">
      <c r="A296" s="3"/>
      <c r="D296" s="3"/>
    </row>
    <row r="297" spans="1:4">
      <c r="A297" s="3"/>
      <c r="D297" s="3"/>
    </row>
    <row r="298" spans="1:4">
      <c r="A298" s="3"/>
      <c r="D298" s="3"/>
    </row>
    <row r="299" spans="1:4">
      <c r="A299" s="3"/>
      <c r="D299" s="3"/>
    </row>
    <row r="300" spans="1:4">
      <c r="A300" s="3"/>
      <c r="D300" s="3"/>
    </row>
    <row r="301" spans="1:4">
      <c r="A301" s="3"/>
      <c r="D301" s="3"/>
    </row>
    <row r="302" spans="1:4">
      <c r="A302" s="3"/>
      <c r="D302" s="3"/>
    </row>
    <row r="303" spans="1:4">
      <c r="A303" s="3"/>
      <c r="D303" s="3"/>
    </row>
    <row r="304" spans="1:4">
      <c r="A304" s="3"/>
      <c r="D304" s="3"/>
    </row>
    <row r="305" spans="1:4">
      <c r="A305" s="3"/>
      <c r="D305" s="3"/>
    </row>
    <row r="306" spans="1:4">
      <c r="A306" s="3"/>
      <c r="D306" s="3"/>
    </row>
    <row r="307" spans="1:4">
      <c r="A307" s="3"/>
      <c r="D307" s="3"/>
    </row>
    <row r="308" spans="1:4">
      <c r="A308" s="3"/>
      <c r="D308" s="3"/>
    </row>
    <row r="309" spans="1:4">
      <c r="A309" s="3"/>
      <c r="D309" s="3"/>
    </row>
    <row r="310" spans="1:4">
      <c r="A310" s="3"/>
      <c r="D310" s="3"/>
    </row>
    <row r="311" spans="1:4">
      <c r="A311" s="3"/>
      <c r="D311" s="3"/>
    </row>
    <row r="312" spans="1:4">
      <c r="A312" s="3"/>
      <c r="D312" s="3"/>
    </row>
    <row r="313" spans="1:4">
      <c r="A313" s="3"/>
      <c r="D313" s="3"/>
    </row>
    <row r="314" spans="1:4">
      <c r="A314" s="3"/>
      <c r="D314" s="3"/>
    </row>
    <row r="315" spans="1:4">
      <c r="A315" s="3"/>
      <c r="D315" s="3"/>
    </row>
    <row r="316" spans="1:4">
      <c r="A316" s="3"/>
      <c r="D316" s="3"/>
    </row>
    <row r="317" spans="1:4">
      <c r="A317" s="3"/>
      <c r="D317" s="3"/>
    </row>
    <row r="318" spans="1:4">
      <c r="A318" s="3"/>
      <c r="D318" s="3"/>
    </row>
    <row r="319" spans="1:4">
      <c r="A319" s="3"/>
      <c r="D319" s="3"/>
    </row>
    <row r="320" spans="1:4">
      <c r="A320" s="3"/>
      <c r="D320" s="3"/>
    </row>
    <row r="321" spans="1:4">
      <c r="A321" s="3"/>
      <c r="D321" s="3"/>
    </row>
    <row r="322" spans="1:4">
      <c r="A322" s="3"/>
      <c r="D322" s="3"/>
    </row>
    <row r="323" spans="1:4">
      <c r="A323" s="3"/>
      <c r="D323" s="3"/>
    </row>
    <row r="324" spans="1:4">
      <c r="A324" s="3"/>
      <c r="D324" s="3"/>
    </row>
    <row r="325" spans="1:4">
      <c r="A325" s="3"/>
      <c r="D325" s="3"/>
    </row>
    <row r="326" spans="1:4">
      <c r="A326" s="3"/>
      <c r="D326" s="3"/>
    </row>
    <row r="327" spans="1:4">
      <c r="A327" s="3"/>
      <c r="D327" s="3"/>
    </row>
    <row r="328" spans="1:4">
      <c r="A328" s="3"/>
      <c r="D328" s="3"/>
    </row>
    <row r="329" spans="1:4">
      <c r="A329" s="3"/>
      <c r="D329" s="3"/>
    </row>
    <row r="330" spans="1:4">
      <c r="A330" s="3"/>
      <c r="D330" s="3"/>
    </row>
    <row r="331" spans="1:4">
      <c r="A331" s="3"/>
      <c r="D331" s="3"/>
    </row>
    <row r="332" spans="1:4">
      <c r="A332" s="3"/>
      <c r="D332" s="3"/>
    </row>
    <row r="333" spans="1:4">
      <c r="A333" s="3"/>
      <c r="D333" s="3"/>
    </row>
    <row r="334" spans="1:4">
      <c r="A334" s="3"/>
      <c r="D334" s="3"/>
    </row>
    <row r="335" spans="1:4">
      <c r="A335" s="3"/>
      <c r="D335" s="3"/>
    </row>
    <row r="336" spans="1:4">
      <c r="A336" s="3"/>
      <c r="D336" s="3"/>
    </row>
    <row r="337" spans="1:4">
      <c r="A337" s="3"/>
      <c r="D337" s="3"/>
    </row>
    <row r="338" spans="1:4">
      <c r="A338" s="3"/>
      <c r="D338" s="3"/>
    </row>
    <row r="339" spans="1:4">
      <c r="A339" s="3"/>
      <c r="D339" s="3"/>
    </row>
    <row r="340" spans="1:4">
      <c r="A340" s="3"/>
      <c r="D340" s="3"/>
    </row>
    <row r="341" spans="1:4">
      <c r="A341" s="3"/>
      <c r="D341" s="3"/>
    </row>
    <row r="342" spans="1:4">
      <c r="A342" s="3"/>
      <c r="D342" s="3"/>
    </row>
    <row r="343" spans="1:4">
      <c r="A343" s="3"/>
      <c r="D343" s="3"/>
    </row>
    <row r="344" spans="1:4">
      <c r="A344" s="3"/>
      <c r="D344" s="3"/>
    </row>
    <row r="345" spans="1:4">
      <c r="A345" s="3"/>
      <c r="D345" s="3"/>
    </row>
    <row r="346" spans="1:4">
      <c r="A346" s="3"/>
      <c r="D346" s="3"/>
    </row>
    <row r="347" spans="1:4">
      <c r="A347" s="3"/>
      <c r="D347" s="3"/>
    </row>
    <row r="348" spans="1:4">
      <c r="A348" s="3"/>
      <c r="D348" s="3"/>
    </row>
    <row r="349" spans="1:4">
      <c r="A349" s="3"/>
      <c r="D349" s="3"/>
    </row>
    <row r="350" spans="1:4">
      <c r="A350" s="3"/>
      <c r="D350" s="3"/>
    </row>
    <row r="351" spans="1:4">
      <c r="A351" s="3"/>
      <c r="D351" s="3"/>
    </row>
    <row r="352" spans="1:4">
      <c r="A352" s="3"/>
      <c r="D352" s="3"/>
    </row>
    <row r="353" spans="1:4">
      <c r="A353" s="3"/>
      <c r="D353" s="3"/>
    </row>
    <row r="354" spans="1:4">
      <c r="A354" s="3"/>
      <c r="D354" s="3"/>
    </row>
    <row r="355" spans="1:4">
      <c r="A355" s="3"/>
      <c r="D355" s="3"/>
    </row>
    <row r="356" spans="1:4">
      <c r="A356" s="3"/>
      <c r="D356" s="3"/>
    </row>
    <row r="357" spans="1:4">
      <c r="A357" s="3"/>
      <c r="D357" s="3"/>
    </row>
    <row r="358" spans="1:4">
      <c r="A358" s="3"/>
      <c r="D358" s="3"/>
    </row>
    <row r="359" spans="1:4">
      <c r="A359" s="3"/>
      <c r="D359" s="3"/>
    </row>
    <row r="360" spans="1:4">
      <c r="A360" s="3"/>
      <c r="D360" s="3"/>
    </row>
    <row r="361" spans="1:4">
      <c r="A361" s="3"/>
      <c r="D361" s="3"/>
    </row>
    <row r="362" spans="1:4">
      <c r="A362" s="3"/>
      <c r="D362" s="3"/>
    </row>
    <row r="363" spans="1:4">
      <c r="A363" s="3"/>
      <c r="D363" s="3"/>
    </row>
    <row r="364" spans="1:4">
      <c r="A364" s="3"/>
      <c r="D364" s="3"/>
    </row>
    <row r="365" spans="1:4">
      <c r="A365" s="3"/>
      <c r="D365" s="3"/>
    </row>
    <row r="366" spans="1:4">
      <c r="A366" s="3"/>
      <c r="D366" s="3"/>
    </row>
    <row r="367" spans="1:4">
      <c r="A367" s="3"/>
      <c r="D367" s="3"/>
    </row>
    <row r="368" spans="1:4">
      <c r="A368" s="3"/>
      <c r="D368" s="3"/>
    </row>
    <row r="369" spans="1:4">
      <c r="A369" s="3"/>
      <c r="D369" s="3"/>
    </row>
    <row r="370" spans="1:4">
      <c r="A370" s="3"/>
      <c r="D370" s="3"/>
    </row>
    <row r="371" spans="1:4">
      <c r="A371" s="3"/>
      <c r="D371" s="3"/>
    </row>
    <row r="372" spans="1:4">
      <c r="A372" s="3"/>
      <c r="D372" s="3"/>
    </row>
    <row r="373" spans="1:4">
      <c r="A373" s="3"/>
      <c r="D373" s="3"/>
    </row>
    <row r="374" spans="1:4">
      <c r="A374" s="3"/>
      <c r="D374" s="3"/>
    </row>
    <row r="375" spans="1:4">
      <c r="A375" s="3"/>
      <c r="D375" s="3"/>
    </row>
    <row r="376" spans="1:4">
      <c r="A376" s="3"/>
      <c r="D376" s="3"/>
    </row>
    <row r="377" spans="1:4">
      <c r="A377" s="3"/>
      <c r="D377" s="3"/>
    </row>
    <row r="378" spans="1:4">
      <c r="A378" s="3"/>
      <c r="D378" s="3"/>
    </row>
    <row r="379" spans="1:4">
      <c r="A379" s="3"/>
      <c r="D379" s="3"/>
    </row>
    <row r="380" spans="1:4">
      <c r="A380" s="3"/>
      <c r="D380" s="3"/>
    </row>
    <row r="381" spans="1:4">
      <c r="A381" s="3"/>
      <c r="D381" s="3"/>
    </row>
    <row r="382" spans="1:4">
      <c r="A382" s="3"/>
      <c r="D382" s="3"/>
    </row>
    <row r="383" spans="1:4">
      <c r="A383" s="3"/>
      <c r="D383" s="3"/>
    </row>
    <row r="384" spans="1:4">
      <c r="A384" s="3"/>
      <c r="D384" s="3"/>
    </row>
    <row r="385" spans="1:4">
      <c r="A385" s="3"/>
      <c r="D385" s="3"/>
    </row>
    <row r="386" spans="1:4">
      <c r="A386" s="3"/>
      <c r="D386" s="3"/>
    </row>
    <row r="387" spans="1:4">
      <c r="A387" s="3"/>
      <c r="D387" s="3"/>
    </row>
    <row r="388" spans="1:4">
      <c r="A388" s="3"/>
      <c r="D388" s="3"/>
    </row>
    <row r="389" spans="1:4">
      <c r="A389" s="3"/>
      <c r="D389" s="3"/>
    </row>
    <row r="390" spans="1:4">
      <c r="A390" s="3"/>
      <c r="D390" s="3"/>
    </row>
    <row r="391" spans="1:4">
      <c r="A391" s="3"/>
      <c r="D391" s="3"/>
    </row>
    <row r="392" spans="1:4">
      <c r="A392" s="3"/>
      <c r="D392" s="3"/>
    </row>
    <row r="393" spans="1:4">
      <c r="A393" s="3"/>
      <c r="D393" s="3"/>
    </row>
    <row r="394" spans="1:4">
      <c r="A394" s="3"/>
      <c r="D394" s="3"/>
    </row>
    <row r="395" spans="1:4">
      <c r="A395" s="3"/>
      <c r="D395" s="3"/>
    </row>
    <row r="396" spans="1:4">
      <c r="A396" s="3"/>
      <c r="D396" s="3"/>
    </row>
    <row r="397" spans="1:4">
      <c r="A397" s="3"/>
      <c r="D397" s="3"/>
    </row>
    <row r="398" spans="1:4">
      <c r="A398" s="3"/>
      <c r="D398" s="3"/>
    </row>
    <row r="399" spans="1:4">
      <c r="A399" s="3"/>
      <c r="D399" s="3"/>
    </row>
    <row r="400" spans="1:4">
      <c r="A400" s="3"/>
      <c r="D400" s="3"/>
    </row>
    <row r="401" spans="1:4">
      <c r="A401" s="3"/>
      <c r="D401" s="3"/>
    </row>
    <row r="402" spans="1:4">
      <c r="A402" s="3"/>
      <c r="D402" s="3"/>
    </row>
    <row r="403" spans="1:4">
      <c r="A403" s="3"/>
      <c r="D403" s="3"/>
    </row>
    <row r="404" spans="1:4">
      <c r="A404" s="3"/>
      <c r="D404" s="3"/>
    </row>
    <row r="405" spans="1:4">
      <c r="A405" s="3"/>
      <c r="D405" s="3"/>
    </row>
    <row r="406" spans="1:4">
      <c r="A406" s="3"/>
      <c r="D406" s="3"/>
    </row>
    <row r="407" spans="1:4">
      <c r="A407" s="3"/>
      <c r="D407" s="3"/>
    </row>
    <row r="408" spans="1:4">
      <c r="A408" s="3"/>
      <c r="D408" s="3"/>
    </row>
    <row r="409" spans="1:4">
      <c r="A409" s="3"/>
      <c r="D409" s="3"/>
    </row>
    <row r="410" spans="1:4">
      <c r="A410" s="3"/>
      <c r="D410" s="3"/>
    </row>
    <row r="411" spans="1:4">
      <c r="A411" s="3"/>
      <c r="D411" s="3"/>
    </row>
    <row r="412" spans="1:4">
      <c r="A412" s="3"/>
      <c r="D412" s="3"/>
    </row>
    <row r="413" spans="1:4">
      <c r="A413" s="3"/>
      <c r="D413" s="3"/>
    </row>
    <row r="414" spans="1:4">
      <c r="A414" s="3"/>
      <c r="D414" s="3"/>
    </row>
    <row r="415" spans="1:4">
      <c r="A415" s="3"/>
      <c r="D415" s="3"/>
    </row>
    <row r="416" spans="1:4">
      <c r="A416" s="3"/>
      <c r="D416" s="3"/>
    </row>
    <row r="417" spans="1:4">
      <c r="A417" s="3"/>
      <c r="D417" s="3"/>
    </row>
    <row r="418" spans="1:4">
      <c r="A418" s="3"/>
      <c r="D418" s="3"/>
    </row>
    <row r="419" spans="1:4">
      <c r="A419" s="3"/>
      <c r="D419" s="3"/>
    </row>
    <row r="420" spans="1:4">
      <c r="A420" s="3"/>
      <c r="D420" s="3"/>
    </row>
    <row r="421" spans="1:4">
      <c r="A421" s="3"/>
      <c r="D421" s="3"/>
    </row>
    <row r="422" spans="1:4">
      <c r="A422" s="3"/>
      <c r="D422" s="3"/>
    </row>
    <row r="423" spans="1:4">
      <c r="A423" s="3"/>
      <c r="D423" s="3"/>
    </row>
    <row r="424" spans="1:4">
      <c r="A424" s="3"/>
      <c r="D424" s="3"/>
    </row>
    <row r="425" spans="1:4">
      <c r="A425" s="3"/>
      <c r="D425" s="3"/>
    </row>
    <row r="426" spans="1:4">
      <c r="A426" s="3"/>
      <c r="D426" s="3"/>
    </row>
    <row r="427" spans="1:4">
      <c r="A427" s="3"/>
      <c r="D427" s="3"/>
    </row>
    <row r="428" spans="1:4">
      <c r="A428" s="3"/>
      <c r="D428" s="3"/>
    </row>
    <row r="429" spans="1:4">
      <c r="A429" s="3"/>
      <c r="D429" s="3"/>
    </row>
    <row r="430" spans="1:4">
      <c r="A430" s="3"/>
      <c r="D430" s="3"/>
    </row>
    <row r="431" spans="1:4">
      <c r="A431" s="3"/>
      <c r="D431" s="3"/>
    </row>
    <row r="432" spans="1:4">
      <c r="A432" s="3"/>
      <c r="D432" s="3"/>
    </row>
    <row r="433" spans="1:4">
      <c r="A433" s="3"/>
      <c r="D433" s="3"/>
    </row>
    <row r="434" spans="1:4">
      <c r="A434" s="3"/>
      <c r="D434" s="3"/>
    </row>
    <row r="435" spans="1:4">
      <c r="A435" s="3"/>
      <c r="D435" s="3"/>
    </row>
    <row r="436" spans="1:4">
      <c r="A436" s="3"/>
      <c r="D436" s="3"/>
    </row>
    <row r="437" spans="1:4">
      <c r="A437" s="3"/>
      <c r="D437" s="3"/>
    </row>
    <row r="438" spans="1:4">
      <c r="A438" s="3"/>
      <c r="D438" s="3"/>
    </row>
    <row r="439" spans="1:4">
      <c r="A439" s="3"/>
      <c r="D439" s="3"/>
    </row>
    <row r="440" spans="1:4">
      <c r="A440" s="3"/>
      <c r="D440" s="3"/>
    </row>
    <row r="441" spans="1:4">
      <c r="A441" s="3"/>
      <c r="D441" s="3"/>
    </row>
    <row r="442" spans="1:4">
      <c r="A442" s="3"/>
      <c r="D442" s="3"/>
    </row>
    <row r="443" spans="1:4">
      <c r="A443" s="3"/>
      <c r="D443" s="3"/>
    </row>
    <row r="444" spans="1:4">
      <c r="A444" s="3"/>
      <c r="D444" s="3"/>
    </row>
    <row r="445" spans="1:4">
      <c r="A445" s="3"/>
      <c r="D445" s="3"/>
    </row>
    <row r="446" spans="1:4">
      <c r="A446" s="3"/>
      <c r="D446" s="3"/>
    </row>
    <row r="447" spans="1:4">
      <c r="A447" s="3"/>
      <c r="D447" s="3"/>
    </row>
    <row r="448" spans="1:4">
      <c r="A448" s="3"/>
      <c r="D448" s="3"/>
    </row>
    <row r="449" spans="1:4">
      <c r="A449" s="3"/>
      <c r="D449" s="3"/>
    </row>
    <row r="450" spans="1:4">
      <c r="A450" s="3"/>
      <c r="D450" s="3"/>
    </row>
    <row r="451" spans="1:4">
      <c r="A451" s="3"/>
      <c r="D451" s="3"/>
    </row>
    <row r="452" spans="1:4">
      <c r="A452" s="3"/>
      <c r="D452" s="3"/>
    </row>
    <row r="453" spans="1:4">
      <c r="A453" s="3"/>
      <c r="D453" s="3"/>
    </row>
    <row r="454" spans="1:4">
      <c r="A454" s="3"/>
      <c r="D454" s="3"/>
    </row>
    <row r="455" spans="1:4">
      <c r="A455" s="3"/>
      <c r="D455" s="3"/>
    </row>
    <row r="456" spans="1:4">
      <c r="A456" s="3"/>
      <c r="D456" s="3"/>
    </row>
    <row r="457" spans="1:4">
      <c r="A457" s="3"/>
      <c r="D457" s="3"/>
    </row>
    <row r="458" spans="1:4">
      <c r="A458" s="3"/>
      <c r="D458" s="3"/>
    </row>
    <row r="459" spans="1:4">
      <c r="A459" s="3"/>
      <c r="D459" s="3"/>
    </row>
    <row r="460" spans="1:4">
      <c r="A460" s="3"/>
      <c r="D460" s="3"/>
    </row>
    <row r="461" spans="1:4">
      <c r="A461" s="3"/>
      <c r="D461" s="3"/>
    </row>
    <row r="462" spans="1:4">
      <c r="A462" s="3"/>
      <c r="D462" s="3"/>
    </row>
    <row r="463" spans="1:4">
      <c r="A463" s="3"/>
      <c r="D463" s="3"/>
    </row>
    <row r="464" spans="1:4">
      <c r="A464" s="3"/>
      <c r="D464" s="3"/>
    </row>
    <row r="465" spans="1:4">
      <c r="A465" s="3"/>
      <c r="D465" s="3"/>
    </row>
    <row r="466" spans="1:4">
      <c r="A466" s="3"/>
      <c r="D466" s="3"/>
    </row>
    <row r="467" spans="1:4">
      <c r="A467" s="3"/>
      <c r="D467" s="3"/>
    </row>
    <row r="468" spans="1:4">
      <c r="A468" s="3"/>
      <c r="D468" s="3"/>
    </row>
    <row r="469" spans="1:4">
      <c r="A469" s="3"/>
      <c r="D469" s="3"/>
    </row>
    <row r="470" spans="1:4">
      <c r="A470" s="3"/>
      <c r="D470" s="3"/>
    </row>
    <row r="471" spans="1:4">
      <c r="A471" s="3"/>
      <c r="D471" s="3"/>
    </row>
    <row r="472" spans="1:4">
      <c r="A472" s="3"/>
      <c r="D472" s="3"/>
    </row>
    <row r="473" spans="1:4">
      <c r="A473" s="3"/>
      <c r="D473" s="3"/>
    </row>
    <row r="474" spans="1:4">
      <c r="A474" s="3"/>
      <c r="D474" s="3"/>
    </row>
    <row r="475" spans="1:4">
      <c r="A475" s="3"/>
      <c r="D475" s="3"/>
    </row>
    <row r="476" spans="1:4">
      <c r="A476" s="3"/>
      <c r="D476" s="3"/>
    </row>
    <row r="477" spans="1:4">
      <c r="A477" s="3"/>
      <c r="D477" s="3"/>
    </row>
    <row r="478" spans="1:4">
      <c r="A478" s="3"/>
      <c r="D478" s="3"/>
    </row>
    <row r="479" spans="1:4">
      <c r="A479" s="3"/>
      <c r="D479" s="3"/>
    </row>
    <row r="480" spans="1:4">
      <c r="A480" s="3"/>
      <c r="D480" s="3"/>
    </row>
    <row r="481" spans="1:4">
      <c r="A481" s="3"/>
      <c r="D481" s="3"/>
    </row>
    <row r="482" spans="1:4">
      <c r="A482" s="3"/>
      <c r="D482" s="3"/>
    </row>
    <row r="483" spans="1:4">
      <c r="A483" s="3"/>
      <c r="D483" s="3"/>
    </row>
    <row r="484" spans="1:4">
      <c r="A484" s="3"/>
      <c r="D484" s="3"/>
    </row>
    <row r="485" spans="1:4">
      <c r="A485" s="3"/>
      <c r="D485" s="3"/>
    </row>
    <row r="486" spans="1:4">
      <c r="A486" s="3"/>
      <c r="D486" s="3"/>
    </row>
    <row r="487" spans="1:4">
      <c r="A487" s="3"/>
      <c r="D487" s="3"/>
    </row>
    <row r="488" spans="1:4">
      <c r="A488" s="3"/>
      <c r="D488" s="3"/>
    </row>
    <row r="489" spans="1:4">
      <c r="A489" s="3"/>
      <c r="D489" s="3"/>
    </row>
    <row r="490" spans="1:4">
      <c r="A490" s="3"/>
      <c r="D490" s="3"/>
    </row>
    <row r="491" spans="1:4">
      <c r="A491" s="3"/>
      <c r="D491" s="3"/>
    </row>
    <row r="492" spans="1:4">
      <c r="A492" s="3"/>
      <c r="D492" s="3"/>
    </row>
    <row r="493" spans="1:4">
      <c r="A493" s="3"/>
      <c r="D493" s="3"/>
    </row>
    <row r="494" spans="1:4">
      <c r="A494" s="3"/>
      <c r="D494" s="3"/>
    </row>
    <row r="495" spans="1:4">
      <c r="A495" s="3"/>
      <c r="D495" s="3"/>
    </row>
    <row r="496" spans="1:4">
      <c r="A496" s="3"/>
      <c r="D496" s="3"/>
    </row>
    <row r="497" spans="1:4">
      <c r="A497" s="3"/>
      <c r="D497" s="3"/>
    </row>
    <row r="498" spans="1:4">
      <c r="A498" s="3"/>
      <c r="D498" s="3"/>
    </row>
    <row r="499" spans="1:4">
      <c r="A499" s="3"/>
      <c r="D499" s="3"/>
    </row>
    <row r="500" spans="1:4">
      <c r="A500" s="3"/>
      <c r="D500" s="3"/>
    </row>
    <row r="501" spans="1:4">
      <c r="A501" s="3"/>
      <c r="D501" s="3"/>
    </row>
    <row r="502" spans="1:4">
      <c r="A502" s="3"/>
      <c r="D502" s="3"/>
    </row>
    <row r="503" spans="1:4">
      <c r="A503" s="3"/>
      <c r="D503" s="3"/>
    </row>
    <row r="504" spans="1:4">
      <c r="A504" s="3"/>
      <c r="D504" s="3"/>
    </row>
    <row r="505" spans="1:4">
      <c r="A505" s="3"/>
      <c r="D505" s="3"/>
    </row>
    <row r="506" spans="1:4">
      <c r="A506" s="3"/>
      <c r="D506" s="3"/>
    </row>
    <row r="507" spans="1:4">
      <c r="A507" s="3"/>
      <c r="D507" s="3"/>
    </row>
    <row r="508" spans="1:4">
      <c r="A508" s="3"/>
      <c r="D508" s="3"/>
    </row>
    <row r="509" spans="1:4">
      <c r="A509" s="3"/>
      <c r="D509" s="3"/>
    </row>
    <row r="510" spans="1:4">
      <c r="A510" s="3"/>
      <c r="D510" s="3"/>
    </row>
    <row r="511" spans="1:4">
      <c r="A511" s="3"/>
      <c r="D511" s="3"/>
    </row>
    <row r="512" spans="1:4">
      <c r="A512" s="3"/>
      <c r="D512" s="3"/>
    </row>
    <row r="513" spans="1:4">
      <c r="A513" s="3"/>
      <c r="D513" s="3"/>
    </row>
    <row r="514" spans="1:4">
      <c r="A514" s="3"/>
      <c r="D514" s="3"/>
    </row>
    <row r="515" spans="1:4">
      <c r="A515" s="3"/>
      <c r="D515" s="3"/>
    </row>
    <row r="516" spans="1:4">
      <c r="A516" s="3"/>
      <c r="D516" s="3"/>
    </row>
    <row r="517" spans="1:4">
      <c r="A517" s="3"/>
      <c r="D517" s="3"/>
    </row>
    <row r="518" spans="1:4">
      <c r="A518" s="3"/>
      <c r="D518" s="3"/>
    </row>
    <row r="519" spans="1:4">
      <c r="A519" s="3"/>
      <c r="D519" s="3"/>
    </row>
    <row r="520" spans="1:4">
      <c r="A520" s="3"/>
      <c r="D520" s="3"/>
    </row>
    <row r="521" spans="1:4">
      <c r="A521" s="3"/>
      <c r="D521" s="3"/>
    </row>
    <row r="522" spans="1:4">
      <c r="A522" s="3"/>
      <c r="D522" s="3"/>
    </row>
    <row r="523" spans="1:4">
      <c r="A523" s="3"/>
      <c r="D523" s="3"/>
    </row>
    <row r="524" spans="1:4">
      <c r="A524" s="3"/>
      <c r="D524" s="3"/>
    </row>
    <row r="525" spans="1:4">
      <c r="A525" s="3"/>
      <c r="D525" s="3"/>
    </row>
    <row r="526" spans="1:4">
      <c r="A526" s="3"/>
      <c r="D526" s="3"/>
    </row>
    <row r="527" spans="1:4">
      <c r="A527" s="3"/>
      <c r="D527" s="3"/>
    </row>
    <row r="528" spans="1:4">
      <c r="A528" s="3"/>
      <c r="D528" s="3"/>
    </row>
    <row r="529" spans="1:4">
      <c r="A529" s="3"/>
      <c r="D529" s="3"/>
    </row>
    <row r="530" spans="1:4">
      <c r="A530" s="3"/>
      <c r="D530" s="3"/>
    </row>
    <row r="531" spans="1:4">
      <c r="A531" s="3"/>
      <c r="D531" s="3"/>
    </row>
    <row r="532" spans="1:4">
      <c r="A532" s="3"/>
      <c r="D532" s="3"/>
    </row>
    <row r="533" spans="1:4">
      <c r="A533" s="3"/>
      <c r="D533" s="3"/>
    </row>
    <row r="534" spans="1:4">
      <c r="A534" s="3"/>
      <c r="D534" s="3"/>
    </row>
    <row r="535" spans="1:4">
      <c r="A535" s="3"/>
      <c r="D535" s="3"/>
    </row>
    <row r="536" spans="1:4">
      <c r="A536" s="3"/>
      <c r="D536" s="3"/>
    </row>
    <row r="537" spans="1:4">
      <c r="A537" s="3"/>
      <c r="D537" s="3"/>
    </row>
    <row r="538" spans="1:4">
      <c r="A538" s="3"/>
      <c r="D538" s="3"/>
    </row>
    <row r="539" spans="1:4">
      <c r="A539" s="3"/>
      <c r="D539" s="3"/>
    </row>
    <row r="540" spans="1:4">
      <c r="A540" s="3"/>
      <c r="D540" s="3"/>
    </row>
    <row r="541" spans="1:4">
      <c r="A541" s="3"/>
      <c r="D541" s="3"/>
    </row>
    <row r="542" spans="1:4">
      <c r="A542" s="3"/>
      <c r="D542" s="3"/>
    </row>
    <row r="543" spans="1:4">
      <c r="A543" s="3"/>
      <c r="D543" s="3"/>
    </row>
    <row r="544" spans="1:4">
      <c r="A544" s="3"/>
      <c r="D544" s="3"/>
    </row>
    <row r="545" spans="1:4">
      <c r="A545" s="3"/>
      <c r="D545" s="3"/>
    </row>
    <row r="546" spans="1:4">
      <c r="A546" s="3"/>
      <c r="D546" s="3"/>
    </row>
    <row r="547" spans="1:4">
      <c r="A547" s="3"/>
      <c r="D547" s="3"/>
    </row>
    <row r="548" spans="1:4">
      <c r="A548" s="3"/>
      <c r="D548" s="3"/>
    </row>
    <row r="549" spans="1:4">
      <c r="A549" s="3"/>
      <c r="D549" s="3"/>
    </row>
    <row r="550" spans="1:4">
      <c r="A550" s="3"/>
      <c r="D550" s="3"/>
    </row>
    <row r="551" spans="1:4">
      <c r="A551" s="3"/>
      <c r="D551" s="3"/>
    </row>
    <row r="552" spans="1:4">
      <c r="A552" s="3"/>
      <c r="D552" s="3"/>
    </row>
    <row r="553" spans="1:4">
      <c r="A553" s="3"/>
      <c r="D553" s="3"/>
    </row>
    <row r="554" spans="1:4">
      <c r="A554" s="3"/>
      <c r="D554" s="3"/>
    </row>
    <row r="555" spans="1:4">
      <c r="A555" s="3"/>
      <c r="D555" s="3"/>
    </row>
    <row r="556" spans="1:4">
      <c r="A556" s="3"/>
      <c r="D556" s="3"/>
    </row>
    <row r="557" spans="1:4">
      <c r="A557" s="3"/>
      <c r="D557" s="3"/>
    </row>
    <row r="558" spans="1:4">
      <c r="A558" s="3"/>
      <c r="D558" s="3"/>
    </row>
    <row r="559" spans="1:4">
      <c r="A559" s="3"/>
      <c r="D559" s="3"/>
    </row>
    <row r="560" spans="1:4">
      <c r="A560" s="3"/>
      <c r="D560" s="3"/>
    </row>
    <row r="561" spans="1:4">
      <c r="A561" s="3"/>
      <c r="D561" s="3"/>
    </row>
    <row r="562" spans="1:4">
      <c r="A562" s="3"/>
      <c r="D562" s="3"/>
    </row>
    <row r="563" spans="1:4">
      <c r="A563" s="3"/>
      <c r="D563" s="3"/>
    </row>
    <row r="564" spans="1:4">
      <c r="A564" s="3"/>
      <c r="D564" s="3"/>
    </row>
    <row r="565" spans="1:4">
      <c r="A565" s="3"/>
      <c r="D565" s="3"/>
    </row>
    <row r="566" spans="1:4">
      <c r="A566" s="3"/>
      <c r="D566" s="3"/>
    </row>
    <row r="567" spans="1:4">
      <c r="A567" s="3"/>
      <c r="D567" s="3"/>
    </row>
    <row r="568" spans="1:4">
      <c r="A568" s="3"/>
      <c r="D568" s="3"/>
    </row>
    <row r="569" spans="1:4">
      <c r="A569" s="3"/>
      <c r="D569" s="3"/>
    </row>
    <row r="570" spans="1:4">
      <c r="A570" s="3"/>
      <c r="D570" s="3"/>
    </row>
    <row r="571" spans="1:4">
      <c r="A571" s="3"/>
      <c r="D571" s="3"/>
    </row>
    <row r="572" spans="1:4">
      <c r="A572" s="3"/>
      <c r="D572" s="3"/>
    </row>
    <row r="573" spans="1:4">
      <c r="A573" s="3"/>
      <c r="D573" s="3"/>
    </row>
    <row r="574" spans="1:4">
      <c r="A574" s="3"/>
      <c r="D574" s="3"/>
    </row>
    <row r="575" spans="1:4">
      <c r="A575" s="3"/>
      <c r="D575" s="3"/>
    </row>
    <row r="576" spans="1:4">
      <c r="A576" s="3"/>
      <c r="D576" s="3"/>
    </row>
    <row r="577" spans="1:4">
      <c r="A577" s="3"/>
      <c r="D577" s="3"/>
    </row>
    <row r="578" spans="1:4">
      <c r="A578" s="3"/>
      <c r="D578" s="3"/>
    </row>
    <row r="579" spans="1:4">
      <c r="A579" s="3"/>
      <c r="D579" s="3"/>
    </row>
    <row r="580" spans="1:4">
      <c r="A580" s="3"/>
      <c r="D580" s="3"/>
    </row>
    <row r="581" spans="1:4">
      <c r="A581" s="3"/>
      <c r="D581" s="3"/>
    </row>
    <row r="582" spans="1:4">
      <c r="A582" s="3"/>
      <c r="D582" s="3"/>
    </row>
    <row r="583" spans="1:4">
      <c r="A583" s="3"/>
      <c r="D583" s="3"/>
    </row>
    <row r="584" spans="1:4">
      <c r="A584" s="3"/>
      <c r="D584" s="3"/>
    </row>
    <row r="585" spans="1:4">
      <c r="A585" s="3"/>
      <c r="D585" s="3"/>
    </row>
    <row r="586" spans="1:4">
      <c r="A586" s="3"/>
      <c r="D586" s="3"/>
    </row>
    <row r="587" spans="1:4">
      <c r="A587" s="3"/>
      <c r="D587" s="3"/>
    </row>
    <row r="588" spans="1:4">
      <c r="A588" s="3"/>
      <c r="D588" s="3"/>
    </row>
    <row r="589" spans="1:4">
      <c r="A589" s="3"/>
      <c r="D589" s="3"/>
    </row>
    <row r="590" spans="1:4">
      <c r="A590" s="3"/>
      <c r="D590" s="3"/>
    </row>
    <row r="591" spans="1:4">
      <c r="A591" s="3"/>
      <c r="D591" s="3"/>
    </row>
    <row r="592" spans="1:4">
      <c r="A592" s="3"/>
      <c r="D592" s="3"/>
    </row>
    <row r="593" spans="1:4">
      <c r="A593" s="3"/>
      <c r="D593" s="3"/>
    </row>
    <row r="594" spans="1:4">
      <c r="A594" s="3"/>
      <c r="D594" s="3"/>
    </row>
    <row r="595" spans="1:4">
      <c r="A595" s="3"/>
      <c r="D595" s="3"/>
    </row>
    <row r="596" spans="1:4">
      <c r="A596" s="3"/>
      <c r="D596" s="3"/>
    </row>
    <row r="597" spans="1:4">
      <c r="A597" s="3"/>
      <c r="D597" s="3"/>
    </row>
    <row r="598" spans="1:4">
      <c r="A598" s="3"/>
      <c r="D598" s="3"/>
    </row>
    <row r="599" spans="1:4">
      <c r="A599" s="3"/>
      <c r="D599" s="3"/>
    </row>
    <row r="600" spans="1:4">
      <c r="A600" s="3"/>
      <c r="D600" s="3"/>
    </row>
    <row r="601" spans="1:4">
      <c r="A601" s="3"/>
      <c r="D601" s="3"/>
    </row>
    <row r="602" spans="1:4">
      <c r="A602" s="3"/>
      <c r="D602" s="3"/>
    </row>
    <row r="603" spans="1:4">
      <c r="A603" s="3"/>
      <c r="D603" s="3"/>
    </row>
    <row r="604" spans="1:4">
      <c r="A604" s="3"/>
      <c r="D604" s="3"/>
    </row>
    <row r="605" spans="1:4">
      <c r="A605" s="3"/>
      <c r="D605" s="3"/>
    </row>
    <row r="606" spans="1:4">
      <c r="A606" s="3"/>
      <c r="D606" s="3"/>
    </row>
    <row r="607" spans="1:4">
      <c r="A607" s="3"/>
      <c r="D607" s="3"/>
    </row>
    <row r="608" spans="1:4">
      <c r="A608" s="3"/>
      <c r="D608" s="3"/>
    </row>
    <row r="609" spans="1:4">
      <c r="A609" s="3"/>
      <c r="D609" s="3"/>
    </row>
    <row r="610" spans="1:4">
      <c r="A610" s="3"/>
      <c r="D610" s="3"/>
    </row>
    <row r="611" spans="1:4">
      <c r="A611" s="3"/>
      <c r="D611" s="3"/>
    </row>
    <row r="612" spans="1:4">
      <c r="A612" s="3"/>
      <c r="D612" s="3"/>
    </row>
    <row r="613" spans="1:4">
      <c r="A613" s="3"/>
      <c r="D613" s="3"/>
    </row>
    <row r="614" spans="1:4">
      <c r="A614" s="3"/>
      <c r="D614" s="3"/>
    </row>
    <row r="615" spans="1:4">
      <c r="A615" s="3"/>
      <c r="D615" s="3"/>
    </row>
    <row r="616" spans="1:4">
      <c r="A616" s="3"/>
      <c r="D616" s="3"/>
    </row>
    <row r="617" spans="1:4">
      <c r="A617" s="3"/>
      <c r="D617" s="3"/>
    </row>
    <row r="618" spans="1:4">
      <c r="A618" s="3"/>
      <c r="D618" s="3"/>
    </row>
    <row r="619" spans="1:4">
      <c r="A619" s="3"/>
      <c r="D619" s="3"/>
    </row>
    <row r="620" spans="1:4">
      <c r="A620" s="3"/>
      <c r="D620" s="3"/>
    </row>
    <row r="621" spans="1:4">
      <c r="A621" s="3"/>
      <c r="D621" s="3"/>
    </row>
    <row r="622" spans="1:4">
      <c r="A622" s="3"/>
      <c r="D622" s="3"/>
    </row>
    <row r="623" spans="1:4">
      <c r="A623" s="3"/>
      <c r="D623" s="3"/>
    </row>
    <row r="624" spans="1:4">
      <c r="A624" s="3"/>
      <c r="D624" s="3"/>
    </row>
    <row r="625" spans="1:4">
      <c r="A625" s="3"/>
      <c r="D625" s="3"/>
    </row>
    <row r="626" spans="1:4">
      <c r="A626" s="3"/>
      <c r="D626" s="3"/>
    </row>
    <row r="627" spans="1:4">
      <c r="A627" s="3"/>
      <c r="D627" s="3"/>
    </row>
    <row r="628" spans="1:4">
      <c r="A628" s="3"/>
      <c r="D628" s="3"/>
    </row>
    <row r="629" spans="1:4">
      <c r="A629" s="3"/>
      <c r="D629" s="3"/>
    </row>
    <row r="630" spans="1:4">
      <c r="A630" s="3"/>
      <c r="D630" s="3"/>
    </row>
    <row r="631" spans="1:4">
      <c r="A631" s="3"/>
      <c r="D631" s="3"/>
    </row>
    <row r="632" spans="1:4">
      <c r="A632" s="3"/>
      <c r="D632" s="3"/>
    </row>
    <row r="633" spans="1:4">
      <c r="A633" s="3"/>
      <c r="D633" s="3"/>
    </row>
    <row r="634" spans="1:4">
      <c r="A634" s="3"/>
      <c r="D634" s="3"/>
    </row>
    <row r="635" spans="1:4">
      <c r="A635" s="3"/>
      <c r="D635" s="3"/>
    </row>
    <row r="636" spans="1:4">
      <c r="A636" s="3"/>
      <c r="D636" s="3"/>
    </row>
    <row r="637" spans="1:4">
      <c r="A637" s="3"/>
      <c r="D637" s="3"/>
    </row>
    <row r="638" spans="1:4">
      <c r="A638" s="3"/>
      <c r="D638" s="3"/>
    </row>
    <row r="639" spans="1:4">
      <c r="A639" s="3"/>
      <c r="D639" s="3"/>
    </row>
    <row r="640" spans="1:4">
      <c r="A640" s="3"/>
      <c r="D640" s="3"/>
    </row>
    <row r="641" spans="1:4">
      <c r="A641" s="3"/>
      <c r="D641" s="3"/>
    </row>
    <row r="642" spans="1:4">
      <c r="A642" s="3"/>
      <c r="D642" s="3"/>
    </row>
    <row r="643" spans="1:4">
      <c r="A643" s="3"/>
      <c r="D643" s="3"/>
    </row>
    <row r="644" spans="1:4">
      <c r="A644" s="3"/>
      <c r="D644" s="3"/>
    </row>
    <row r="645" spans="1:4">
      <c r="A645" s="3"/>
      <c r="D645" s="3"/>
    </row>
    <row r="646" spans="1:4">
      <c r="A646" s="3"/>
      <c r="D646" s="3"/>
    </row>
    <row r="647" spans="1:4">
      <c r="A647" s="3"/>
      <c r="D647" s="3"/>
    </row>
    <row r="648" spans="1:4">
      <c r="A648" s="3"/>
      <c r="D648" s="3"/>
    </row>
    <row r="649" spans="1:4">
      <c r="A649" s="3"/>
      <c r="D649" s="3"/>
    </row>
    <row r="650" spans="1:4">
      <c r="A650" s="3"/>
      <c r="D650" s="3"/>
    </row>
    <row r="651" spans="1:4">
      <c r="A651" s="3"/>
      <c r="D651" s="3"/>
    </row>
    <row r="652" spans="1:4">
      <c r="A652" s="3"/>
      <c r="D652" s="3"/>
    </row>
    <row r="653" spans="1:4">
      <c r="A653" s="3"/>
      <c r="D653" s="3"/>
    </row>
    <row r="654" spans="1:4">
      <c r="A654" s="3"/>
      <c r="D654" s="3"/>
    </row>
    <row r="655" spans="1:4">
      <c r="A655" s="3"/>
      <c r="D655" s="3"/>
    </row>
    <row r="656" spans="1:4">
      <c r="A656" s="3"/>
      <c r="D656" s="3"/>
    </row>
    <row r="657" spans="1:4">
      <c r="A657" s="3"/>
      <c r="D657" s="3"/>
    </row>
    <row r="658" spans="1:4">
      <c r="A658" s="3"/>
      <c r="D658" s="3"/>
    </row>
    <row r="659" spans="1:4">
      <c r="A659" s="3"/>
      <c r="D659" s="3"/>
    </row>
    <row r="660" spans="1:4">
      <c r="A660" s="3"/>
      <c r="D660" s="3"/>
    </row>
    <row r="661" spans="1:4">
      <c r="A661" s="3"/>
      <c r="D661" s="3"/>
    </row>
    <row r="662" spans="1:4">
      <c r="A662" s="3"/>
      <c r="D662" s="3"/>
    </row>
    <row r="663" spans="1:4">
      <c r="A663" s="3"/>
      <c r="D663" s="3"/>
    </row>
    <row r="664" spans="1:4">
      <c r="A664" s="3"/>
      <c r="D664" s="3"/>
    </row>
    <row r="665" spans="1:4">
      <c r="A665" s="3"/>
      <c r="D665" s="3"/>
    </row>
    <row r="666" spans="1:4">
      <c r="A666" s="3"/>
      <c r="D666" s="3"/>
    </row>
    <row r="667" spans="1:4">
      <c r="A667" s="3"/>
      <c r="D667" s="3"/>
    </row>
    <row r="668" spans="1:4">
      <c r="A668" s="3"/>
      <c r="D668" s="3"/>
    </row>
    <row r="669" spans="1:4">
      <c r="A669" s="3"/>
      <c r="D669" s="3"/>
    </row>
    <row r="670" spans="1:4">
      <c r="A670" s="3"/>
      <c r="D670" s="3"/>
    </row>
    <row r="671" spans="1:4">
      <c r="A671" s="3"/>
      <c r="D671" s="3"/>
    </row>
    <row r="672" spans="1:4">
      <c r="A672" s="3"/>
      <c r="D672" s="3"/>
    </row>
    <row r="673" spans="1:4">
      <c r="A673" s="3"/>
      <c r="D673" s="3"/>
    </row>
    <row r="674" spans="1:4">
      <c r="A674" s="3"/>
      <c r="D674" s="3"/>
    </row>
    <row r="675" spans="1:4">
      <c r="A675" s="3"/>
      <c r="D675" s="3"/>
    </row>
    <row r="676" spans="1:4">
      <c r="A676" s="3"/>
      <c r="D676" s="3"/>
    </row>
    <row r="677" spans="1:4">
      <c r="A677" s="3"/>
      <c r="D677" s="3"/>
    </row>
    <row r="678" spans="1:4">
      <c r="A678" s="3"/>
      <c r="D678" s="3"/>
    </row>
    <row r="679" spans="1:4">
      <c r="A679" s="3"/>
      <c r="D679" s="3"/>
    </row>
    <row r="680" spans="1:4">
      <c r="A680" s="3"/>
      <c r="D680" s="3"/>
    </row>
    <row r="681" spans="1:4">
      <c r="A681" s="3"/>
      <c r="D681" s="3"/>
    </row>
    <row r="682" spans="1:4">
      <c r="A682" s="3"/>
      <c r="D682" s="3"/>
    </row>
    <row r="683" spans="1:4">
      <c r="A683" s="3"/>
      <c r="D683" s="3"/>
    </row>
    <row r="684" spans="1:4">
      <c r="A684" s="3"/>
      <c r="D684" s="3"/>
    </row>
    <row r="685" spans="1:4">
      <c r="A685" s="3"/>
      <c r="D685" s="3"/>
    </row>
    <row r="686" spans="1:4">
      <c r="A686" s="3"/>
      <c r="D686" s="3"/>
    </row>
    <row r="687" spans="1:4">
      <c r="A687" s="3"/>
      <c r="D687" s="3"/>
    </row>
    <row r="688" spans="1:4">
      <c r="A688" s="3"/>
      <c r="D688" s="3"/>
    </row>
    <row r="689" spans="1:4">
      <c r="A689" s="3"/>
      <c r="D689" s="3"/>
    </row>
    <row r="690" spans="1:4">
      <c r="A690" s="3"/>
      <c r="D690" s="3"/>
    </row>
    <row r="691" spans="1:4">
      <c r="A691" s="3"/>
      <c r="D691" s="3"/>
    </row>
    <row r="692" spans="1:4">
      <c r="A692" s="3"/>
      <c r="D692" s="3"/>
    </row>
    <row r="693" spans="1:4">
      <c r="A693" s="3"/>
      <c r="D693" s="3"/>
    </row>
    <row r="694" spans="1:4">
      <c r="A694" s="3"/>
      <c r="D694" s="3"/>
    </row>
    <row r="695" spans="1:4">
      <c r="A695" s="3"/>
      <c r="D695" s="3"/>
    </row>
    <row r="696" spans="1:4">
      <c r="A696" s="3"/>
      <c r="D696" s="3"/>
    </row>
    <row r="697" spans="1:4">
      <c r="A697" s="3"/>
      <c r="D697" s="3"/>
    </row>
    <row r="698" spans="1:4">
      <c r="A698" s="3"/>
      <c r="D698" s="3"/>
    </row>
    <row r="699" spans="1:4">
      <c r="A699" s="3"/>
      <c r="D699" s="3"/>
    </row>
    <row r="700" spans="1:4">
      <c r="A700" s="3"/>
      <c r="D700" s="3"/>
    </row>
    <row r="701" spans="1:4">
      <c r="A701" s="3"/>
      <c r="D701" s="3"/>
    </row>
    <row r="702" spans="1:4">
      <c r="A702" s="3"/>
      <c r="D702" s="3"/>
    </row>
    <row r="703" spans="1:4">
      <c r="A703" s="3"/>
      <c r="D703" s="3"/>
    </row>
    <row r="704" spans="1:4">
      <c r="A704" s="3"/>
      <c r="D704" s="3"/>
    </row>
    <row r="705" spans="1:4">
      <c r="A705" s="3"/>
      <c r="D705" s="3"/>
    </row>
    <row r="706" spans="1:4">
      <c r="A706" s="3"/>
      <c r="D706" s="3"/>
    </row>
    <row r="707" spans="1:4">
      <c r="A707" s="3"/>
      <c r="D707" s="3"/>
    </row>
    <row r="708" spans="1:4">
      <c r="A708" s="3"/>
      <c r="D708" s="3"/>
    </row>
    <row r="709" spans="1:4">
      <c r="A709" s="3"/>
      <c r="D709" s="3"/>
    </row>
    <row r="710" spans="1:4">
      <c r="A710" s="3"/>
      <c r="D710" s="3"/>
    </row>
    <row r="711" spans="1:4">
      <c r="A711" s="3"/>
      <c r="D711" s="3"/>
    </row>
    <row r="712" spans="1:4">
      <c r="A712" s="3"/>
      <c r="D712" s="3"/>
    </row>
    <row r="713" spans="1:4">
      <c r="A713" s="3"/>
      <c r="D713" s="3"/>
    </row>
    <row r="714" spans="1:4">
      <c r="A714" s="3"/>
      <c r="D714" s="3"/>
    </row>
    <row r="715" spans="1:4">
      <c r="A715" s="3"/>
      <c r="D715" s="3"/>
    </row>
    <row r="716" spans="1:4">
      <c r="A716" s="3"/>
      <c r="D716" s="3"/>
    </row>
    <row r="717" spans="1:4">
      <c r="A717" s="3"/>
      <c r="D717" s="3"/>
    </row>
    <row r="718" spans="1:4">
      <c r="A718" s="3"/>
      <c r="D718" s="3"/>
    </row>
    <row r="719" spans="1:4">
      <c r="A719" s="3"/>
      <c r="D719" s="3"/>
    </row>
    <row r="720" spans="1:4">
      <c r="A720" s="3"/>
      <c r="D720" s="3"/>
    </row>
    <row r="721" spans="1:4">
      <c r="A721" s="3"/>
      <c r="D721" s="3"/>
    </row>
    <row r="722" spans="1:4">
      <c r="A722" s="3"/>
      <c r="D722" s="3"/>
    </row>
    <row r="723" spans="1:4">
      <c r="A723" s="3"/>
      <c r="D723" s="3"/>
    </row>
    <row r="724" spans="1:4">
      <c r="A724" s="3"/>
      <c r="D724" s="3"/>
    </row>
    <row r="725" spans="1:4">
      <c r="A725" s="3"/>
      <c r="D725" s="3"/>
    </row>
    <row r="726" spans="1:4">
      <c r="A726" s="3"/>
      <c r="D726" s="3"/>
    </row>
    <row r="727" spans="1:4">
      <c r="A727" s="3"/>
      <c r="D727" s="3"/>
    </row>
    <row r="728" spans="1:4">
      <c r="A728" s="3"/>
      <c r="D728" s="3"/>
    </row>
    <row r="729" spans="1:4">
      <c r="A729" s="3"/>
      <c r="D729" s="3"/>
    </row>
    <row r="730" spans="1:4">
      <c r="A730" s="3"/>
      <c r="D730" s="3"/>
    </row>
    <row r="731" spans="1:4">
      <c r="A731" s="3"/>
      <c r="D731" s="3"/>
    </row>
    <row r="732" spans="1:4">
      <c r="A732" s="3"/>
      <c r="D732" s="3"/>
    </row>
    <row r="733" spans="1:4">
      <c r="A733" s="3"/>
      <c r="D733" s="3"/>
    </row>
    <row r="734" spans="1:4">
      <c r="A734" s="3"/>
      <c r="D734" s="3"/>
    </row>
    <row r="735" spans="1:4">
      <c r="A735" s="3"/>
      <c r="D735" s="3"/>
    </row>
    <row r="736" spans="1:4">
      <c r="A736" s="3"/>
      <c r="D736" s="3"/>
    </row>
    <row r="737" spans="1:4">
      <c r="A737" s="3"/>
      <c r="D737" s="3"/>
    </row>
    <row r="738" spans="1:4">
      <c r="A738" s="3"/>
      <c r="D738" s="3"/>
    </row>
    <row r="739" spans="1:4">
      <c r="A739" s="3"/>
      <c r="D739" s="3"/>
    </row>
    <row r="740" spans="1:4">
      <c r="A740" s="3"/>
      <c r="D740" s="3"/>
    </row>
    <row r="741" spans="1:4">
      <c r="A741" s="3"/>
      <c r="D741" s="3"/>
    </row>
    <row r="742" spans="1:4">
      <c r="A742" s="3"/>
      <c r="D742" s="3"/>
    </row>
    <row r="743" spans="1:4">
      <c r="A743" s="3"/>
      <c r="D743" s="3"/>
    </row>
    <row r="744" spans="1:4">
      <c r="A744" s="3"/>
      <c r="D744" s="3"/>
    </row>
    <row r="745" spans="1:4">
      <c r="A745" s="3"/>
      <c r="D745" s="3"/>
    </row>
    <row r="746" spans="1:4">
      <c r="A746" s="3"/>
      <c r="D746" s="3"/>
    </row>
    <row r="747" spans="1:4">
      <c r="A747" s="3"/>
      <c r="D747" s="3"/>
    </row>
    <row r="748" spans="1:4">
      <c r="A748" s="3"/>
      <c r="D748" s="3"/>
    </row>
    <row r="749" spans="1:4">
      <c r="A749" s="3"/>
      <c r="D749" s="3"/>
    </row>
    <row r="750" spans="1:4">
      <c r="A750" s="3"/>
      <c r="D750" s="3"/>
    </row>
    <row r="751" spans="1:4">
      <c r="A751" s="3"/>
      <c r="D751" s="3"/>
    </row>
    <row r="752" spans="1:4">
      <c r="A752" s="3"/>
      <c r="D752" s="3"/>
    </row>
    <row r="753" spans="1:4">
      <c r="A753" s="3"/>
      <c r="D753" s="3"/>
    </row>
    <row r="754" spans="1:4">
      <c r="A754" s="3"/>
      <c r="D754" s="3"/>
    </row>
    <row r="755" spans="1:4">
      <c r="A755" s="3"/>
      <c r="D755" s="3"/>
    </row>
    <row r="756" spans="1:4">
      <c r="A756" s="3"/>
      <c r="D756" s="3"/>
    </row>
    <row r="757" spans="1:4">
      <c r="A757" s="3"/>
      <c r="D757" s="3"/>
    </row>
    <row r="758" spans="1:4">
      <c r="A758" s="3"/>
      <c r="D758" s="3"/>
    </row>
    <row r="759" spans="1:4">
      <c r="A759" s="3"/>
      <c r="D759" s="3"/>
    </row>
    <row r="760" spans="1:4">
      <c r="A760" s="3"/>
      <c r="D760" s="3"/>
    </row>
    <row r="761" spans="1:4">
      <c r="A761" s="3"/>
      <c r="D761" s="3"/>
    </row>
    <row r="762" spans="1:4">
      <c r="A762" s="3"/>
      <c r="D762" s="3"/>
    </row>
    <row r="763" spans="1:4">
      <c r="A763" s="3"/>
      <c r="D763" s="3"/>
    </row>
    <row r="764" spans="1:4">
      <c r="A764" s="3"/>
      <c r="D764" s="3"/>
    </row>
    <row r="765" spans="1:4">
      <c r="A765" s="3"/>
      <c r="D765" s="3"/>
    </row>
    <row r="766" spans="1:4">
      <c r="A766" s="3"/>
      <c r="D766" s="3"/>
    </row>
    <row r="767" spans="1:4">
      <c r="A767" s="3"/>
      <c r="D767" s="3"/>
    </row>
    <row r="768" spans="1:4">
      <c r="A768" s="3"/>
      <c r="D768" s="3"/>
    </row>
    <row r="769" spans="1:4">
      <c r="A769" s="3"/>
      <c r="D769" s="3"/>
    </row>
    <row r="770" spans="1:4">
      <c r="A770" s="3"/>
      <c r="D770" s="3"/>
    </row>
    <row r="771" spans="1:4">
      <c r="A771" s="3"/>
      <c r="D771" s="3"/>
    </row>
    <row r="772" spans="1:4">
      <c r="A772" s="3"/>
      <c r="D772" s="3"/>
    </row>
    <row r="773" spans="1:4">
      <c r="A773" s="3"/>
      <c r="D773" s="3"/>
    </row>
    <row r="774" spans="1:4">
      <c r="A774" s="3"/>
      <c r="D774" s="3"/>
    </row>
    <row r="775" spans="1:4">
      <c r="A775" s="3"/>
      <c r="D775" s="3"/>
    </row>
    <row r="776" spans="1:4">
      <c r="A776" s="3"/>
      <c r="D776" s="3"/>
    </row>
    <row r="777" spans="1:4">
      <c r="A777" s="3"/>
      <c r="D777" s="3"/>
    </row>
    <row r="778" spans="1:4">
      <c r="A778" s="3"/>
      <c r="D778" s="3"/>
    </row>
    <row r="779" spans="1:4">
      <c r="A779" s="3"/>
      <c r="D779" s="3"/>
    </row>
    <row r="780" spans="1:4">
      <c r="A780" s="3"/>
      <c r="D780" s="3"/>
    </row>
    <row r="781" spans="1:4">
      <c r="A781" s="3"/>
      <c r="D781" s="3"/>
    </row>
    <row r="782" spans="1:4">
      <c r="A782" s="3"/>
      <c r="D782" s="3"/>
    </row>
    <row r="783" spans="1:4">
      <c r="A783" s="3"/>
      <c r="D783" s="3"/>
    </row>
    <row r="784" spans="1:4">
      <c r="A784" s="3"/>
      <c r="D784" s="3"/>
    </row>
    <row r="785" spans="1:4">
      <c r="A785" s="3"/>
      <c r="D785" s="3"/>
    </row>
    <row r="786" spans="1:4">
      <c r="A786" s="3"/>
      <c r="D786" s="3"/>
    </row>
    <row r="787" spans="1:4">
      <c r="A787" s="3"/>
      <c r="D787" s="3"/>
    </row>
    <row r="788" spans="1:4">
      <c r="A788" s="3"/>
      <c r="D788" s="3"/>
    </row>
    <row r="789" spans="1:4">
      <c r="A789" s="3"/>
      <c r="D789" s="3"/>
    </row>
    <row r="790" spans="1:4">
      <c r="A790" s="3"/>
      <c r="D790" s="3"/>
    </row>
    <row r="791" spans="1:4">
      <c r="A791" s="3"/>
      <c r="D791" s="3"/>
    </row>
    <row r="792" spans="1:4">
      <c r="A792" s="3"/>
      <c r="D792" s="3"/>
    </row>
    <row r="793" spans="1:4">
      <c r="A793" s="3"/>
      <c r="D793" s="3"/>
    </row>
    <row r="794" spans="1:4">
      <c r="A794" s="3"/>
      <c r="D794" s="3"/>
    </row>
    <row r="795" spans="1:4">
      <c r="A795" s="3"/>
      <c r="D795" s="3"/>
    </row>
    <row r="796" spans="1:4">
      <c r="A796" s="3"/>
      <c r="D796" s="3"/>
    </row>
    <row r="797" spans="1:4">
      <c r="A797" s="3"/>
      <c r="D797" s="3"/>
    </row>
    <row r="798" spans="1:4">
      <c r="A798" s="3"/>
      <c r="D798" s="3"/>
    </row>
    <row r="799" spans="1:4">
      <c r="A799" s="3"/>
      <c r="D799" s="3"/>
    </row>
    <row r="800" spans="1:4">
      <c r="A800" s="3"/>
      <c r="D800" s="3"/>
    </row>
    <row r="801" spans="1:4">
      <c r="A801" s="3"/>
      <c r="D801" s="3"/>
    </row>
    <row r="802" spans="1:4">
      <c r="A802" s="3"/>
      <c r="D802" s="3"/>
    </row>
    <row r="803" spans="1:4">
      <c r="A803" s="3"/>
      <c r="D803" s="3"/>
    </row>
    <row r="804" spans="1:4">
      <c r="A804" s="3"/>
      <c r="D804" s="3"/>
    </row>
    <row r="805" spans="1:4">
      <c r="A805" s="3"/>
      <c r="D805" s="3"/>
    </row>
    <row r="806" spans="1:4">
      <c r="A806" s="3"/>
      <c r="D806" s="3"/>
    </row>
    <row r="807" spans="1:4">
      <c r="A807" s="3"/>
      <c r="D807" s="3"/>
    </row>
    <row r="808" spans="1:4">
      <c r="A808" s="3"/>
      <c r="D808" s="3"/>
    </row>
    <row r="809" spans="1:4">
      <c r="A809" s="3"/>
      <c r="D809" s="3"/>
    </row>
    <row r="810" spans="1:4">
      <c r="A810" s="3"/>
      <c r="D810" s="3"/>
    </row>
    <row r="811" spans="1:4">
      <c r="A811" s="3"/>
      <c r="D811" s="3"/>
    </row>
    <row r="812" spans="1:4">
      <c r="A812" s="3"/>
      <c r="D812" s="3"/>
    </row>
    <row r="813" spans="1:4">
      <c r="A813" s="3"/>
      <c r="D813" s="3"/>
    </row>
    <row r="814" spans="1:4">
      <c r="A814" s="3"/>
      <c r="D814" s="3"/>
    </row>
    <row r="815" spans="1:4">
      <c r="A815" s="3"/>
      <c r="D815" s="3"/>
    </row>
    <row r="816" spans="1:4">
      <c r="A816" s="3"/>
      <c r="D816" s="3"/>
    </row>
    <row r="817" spans="1:4">
      <c r="A817" s="3"/>
      <c r="D817" s="3"/>
    </row>
    <row r="818" spans="1:4">
      <c r="A818" s="3"/>
      <c r="D818" s="3"/>
    </row>
    <row r="819" spans="1:4">
      <c r="A819" s="3"/>
      <c r="D819" s="3"/>
    </row>
    <row r="820" spans="1:4">
      <c r="A820" s="3"/>
      <c r="D820" s="3"/>
    </row>
    <row r="821" spans="1:4">
      <c r="A821" s="3"/>
      <c r="D821" s="3"/>
    </row>
    <row r="822" spans="1:4">
      <c r="A822" s="3"/>
      <c r="D822" s="3"/>
    </row>
    <row r="823" spans="1:4">
      <c r="A823" s="3"/>
      <c r="D823" s="3"/>
    </row>
    <row r="824" spans="1:4">
      <c r="A824" s="3"/>
      <c r="D824" s="3"/>
    </row>
    <row r="825" spans="1:4">
      <c r="A825" s="3"/>
      <c r="D825" s="3"/>
    </row>
    <row r="826" spans="1:4">
      <c r="A826" s="3"/>
      <c r="D826" s="3"/>
    </row>
    <row r="827" spans="1:4">
      <c r="A827" s="3"/>
      <c r="D827" s="3"/>
    </row>
    <row r="828" spans="1:4">
      <c r="A828" s="3"/>
      <c r="D828" s="3"/>
    </row>
    <row r="829" spans="1:4">
      <c r="A829" s="3"/>
      <c r="D829" s="3"/>
    </row>
    <row r="830" spans="1:4">
      <c r="A830" s="3"/>
      <c r="D830" s="3"/>
    </row>
    <row r="831" spans="1:4">
      <c r="A831" s="3"/>
      <c r="D831" s="3"/>
    </row>
    <row r="832" spans="1:4">
      <c r="A832" s="3"/>
      <c r="D832" s="3"/>
    </row>
    <row r="833" spans="1:4">
      <c r="A833" s="3"/>
      <c r="D833" s="3"/>
    </row>
    <row r="834" spans="1:4">
      <c r="A834" s="3"/>
      <c r="D834" s="3"/>
    </row>
    <row r="835" spans="1:4">
      <c r="A835" s="3"/>
      <c r="D835" s="3"/>
    </row>
    <row r="836" spans="1:4">
      <c r="A836" s="3"/>
      <c r="D836" s="3"/>
    </row>
    <row r="837" spans="1:4">
      <c r="A837" s="3"/>
      <c r="D837" s="3"/>
    </row>
    <row r="838" spans="1:4">
      <c r="A838" s="3"/>
      <c r="D838" s="3"/>
    </row>
    <row r="839" spans="1:4">
      <c r="A839" s="3"/>
      <c r="D839" s="3"/>
    </row>
    <row r="840" spans="1:4">
      <c r="A840" s="3"/>
      <c r="D840" s="3"/>
    </row>
    <row r="841" spans="1:4">
      <c r="A841" s="3"/>
      <c r="D841" s="3"/>
    </row>
    <row r="842" spans="1:4">
      <c r="A842" s="3"/>
      <c r="D842" s="3"/>
    </row>
    <row r="843" spans="1:4">
      <c r="A843" s="3"/>
      <c r="D843" s="3"/>
    </row>
    <row r="844" spans="1:4">
      <c r="A844" s="3"/>
      <c r="D844" s="3"/>
    </row>
    <row r="845" spans="1:4">
      <c r="A845" s="3"/>
      <c r="D845" s="3"/>
    </row>
    <row r="846" spans="1:4">
      <c r="A846" s="3"/>
      <c r="D846" s="3"/>
    </row>
    <row r="847" spans="1:4">
      <c r="A847" s="3"/>
      <c r="D847" s="3"/>
    </row>
    <row r="848" spans="1:4">
      <c r="A848" s="3"/>
      <c r="D848" s="3"/>
    </row>
    <row r="849" spans="1:4">
      <c r="A849" s="3"/>
      <c r="D849" s="3"/>
    </row>
    <row r="850" spans="1:4">
      <c r="A850" s="3"/>
      <c r="D850" s="3"/>
    </row>
    <row r="851" spans="1:4">
      <c r="A851" s="3"/>
      <c r="D851" s="3"/>
    </row>
    <row r="852" spans="1:4">
      <c r="A852" s="3"/>
      <c r="D852" s="3"/>
    </row>
    <row r="853" spans="1:4">
      <c r="A853" s="3"/>
      <c r="D853" s="3"/>
    </row>
    <row r="854" spans="1:4">
      <c r="A854" s="3"/>
      <c r="D854" s="3"/>
    </row>
    <row r="855" spans="1:4">
      <c r="A855" s="3"/>
      <c r="D855" s="3"/>
    </row>
    <row r="856" spans="1:4">
      <c r="A856" s="3"/>
      <c r="D856" s="3"/>
    </row>
    <row r="857" spans="1:4">
      <c r="A857" s="3"/>
      <c r="D857" s="3"/>
    </row>
    <row r="858" spans="1:4">
      <c r="A858" s="3"/>
      <c r="D858" s="3"/>
    </row>
    <row r="859" spans="1:4">
      <c r="A859" s="3"/>
      <c r="D859" s="3"/>
    </row>
    <row r="860" spans="1:4">
      <c r="A860" s="3"/>
      <c r="D860" s="3"/>
    </row>
    <row r="861" spans="1:4">
      <c r="A861" s="3"/>
      <c r="D861" s="3"/>
    </row>
    <row r="862" spans="1:4">
      <c r="A862" s="3"/>
      <c r="D862" s="3"/>
    </row>
    <row r="863" spans="1:4">
      <c r="A863" s="3"/>
      <c r="D863" s="3"/>
    </row>
    <row r="864" spans="1:4">
      <c r="A864" s="3"/>
      <c r="D864" s="3"/>
    </row>
    <row r="865" spans="1:4">
      <c r="A865" s="3"/>
      <c r="D865" s="3"/>
    </row>
    <row r="866" spans="1:4">
      <c r="A866" s="3"/>
      <c r="D866" s="3"/>
    </row>
    <row r="867" spans="1:4">
      <c r="A867" s="3"/>
      <c r="D867" s="3"/>
    </row>
    <row r="868" spans="1:4">
      <c r="A868" s="3"/>
      <c r="D868" s="3"/>
    </row>
    <row r="869" spans="1:4">
      <c r="A869" s="3"/>
      <c r="D869" s="3"/>
    </row>
    <row r="870" spans="1:4">
      <c r="A870" s="3"/>
      <c r="D870" s="3"/>
    </row>
    <row r="871" spans="1:4">
      <c r="A871" s="3"/>
      <c r="D871" s="3"/>
    </row>
    <row r="872" spans="1:4">
      <c r="A872" s="3"/>
      <c r="D872" s="3"/>
    </row>
    <row r="873" spans="1:4">
      <c r="A873" s="3"/>
      <c r="D873" s="3"/>
    </row>
    <row r="874" spans="1:4">
      <c r="A874" s="3"/>
      <c r="D874" s="3"/>
    </row>
    <row r="875" spans="1:4">
      <c r="A875" s="3"/>
      <c r="D875" s="3"/>
    </row>
    <row r="876" spans="1:4">
      <c r="A876" s="3"/>
      <c r="D876" s="3"/>
    </row>
    <row r="877" spans="1:4">
      <c r="A877" s="3"/>
      <c r="D877" s="3"/>
    </row>
    <row r="878" spans="1:4">
      <c r="A878" s="3"/>
      <c r="D878" s="3"/>
    </row>
    <row r="879" spans="1:4">
      <c r="A879" s="3"/>
      <c r="D879" s="3"/>
    </row>
    <row r="880" spans="1:4">
      <c r="A880" s="3"/>
      <c r="D880" s="3"/>
    </row>
    <row r="881" spans="1:4">
      <c r="A881" s="3"/>
      <c r="D881" s="3"/>
    </row>
    <row r="882" spans="1:4">
      <c r="A882" s="3"/>
      <c r="D882" s="3"/>
    </row>
    <row r="883" spans="1:4">
      <c r="A883" s="3"/>
      <c r="D883" s="3"/>
    </row>
    <row r="884" spans="1:4">
      <c r="A884" s="3"/>
      <c r="D884" s="3"/>
    </row>
    <row r="885" spans="1:4">
      <c r="A885" s="3"/>
      <c r="D885" s="3"/>
    </row>
    <row r="886" spans="1:4">
      <c r="A886" s="3"/>
      <c r="D886" s="3"/>
    </row>
    <row r="887" spans="1:4">
      <c r="A887" s="3"/>
      <c r="D887" s="3"/>
    </row>
    <row r="888" spans="1:4">
      <c r="A888" s="3"/>
      <c r="D888" s="3"/>
    </row>
    <row r="889" spans="1:4">
      <c r="A889" s="3"/>
      <c r="D889" s="3"/>
    </row>
    <row r="890" spans="1:4">
      <c r="A890" s="3"/>
      <c r="D890" s="3"/>
    </row>
    <row r="891" spans="1:4">
      <c r="A891" s="3"/>
      <c r="D891" s="3"/>
    </row>
    <row r="892" spans="1:4">
      <c r="A892" s="3"/>
      <c r="D892" s="3"/>
    </row>
    <row r="893" spans="1:4">
      <c r="A893" s="3"/>
      <c r="D893" s="3"/>
    </row>
    <row r="894" spans="1:4">
      <c r="A894" s="3"/>
      <c r="D894" s="3"/>
    </row>
    <row r="895" spans="1:4">
      <c r="A895" s="3"/>
      <c r="D895" s="3"/>
    </row>
    <row r="896" spans="1:4">
      <c r="A896" s="3"/>
      <c r="D896" s="3"/>
    </row>
    <row r="897" spans="1:4">
      <c r="A897" s="3"/>
      <c r="D897" s="3"/>
    </row>
    <row r="898" spans="1:4">
      <c r="A898" s="3"/>
      <c r="D898" s="3"/>
    </row>
    <row r="899" spans="1:4">
      <c r="A899" s="3"/>
      <c r="D899" s="3"/>
    </row>
    <row r="900" spans="1:4">
      <c r="A900" s="3"/>
      <c r="D900" s="3"/>
    </row>
    <row r="901" spans="1:4">
      <c r="A901" s="3"/>
      <c r="D901" s="3"/>
    </row>
    <row r="902" spans="1:4">
      <c r="A902" s="3"/>
      <c r="D902" s="3"/>
    </row>
    <row r="903" spans="1:4">
      <c r="A903" s="3"/>
      <c r="D903" s="3"/>
    </row>
    <row r="904" spans="1:4">
      <c r="A904" s="3"/>
      <c r="D904" s="3"/>
    </row>
    <row r="905" spans="1:4">
      <c r="A905" s="3"/>
      <c r="D905" s="3"/>
    </row>
    <row r="906" spans="1:4">
      <c r="A906" s="3"/>
      <c r="D906" s="3"/>
    </row>
    <row r="907" spans="1:4">
      <c r="A907" s="3"/>
      <c r="D907" s="3"/>
    </row>
    <row r="908" spans="1:4">
      <c r="A908" s="3"/>
      <c r="D908" s="3"/>
    </row>
    <row r="909" spans="1:4">
      <c r="A909" s="3"/>
      <c r="D909" s="3"/>
    </row>
    <row r="910" spans="1:4">
      <c r="A910" s="3"/>
      <c r="D910" s="3"/>
    </row>
    <row r="911" spans="1:4">
      <c r="A911" s="3"/>
      <c r="D911" s="3"/>
    </row>
    <row r="912" spans="1:4">
      <c r="A912" s="3"/>
      <c r="D912" s="3"/>
    </row>
    <row r="913" spans="1:4">
      <c r="A913" s="3"/>
      <c r="D913" s="3"/>
    </row>
    <row r="914" spans="1:4">
      <c r="A914" s="3"/>
      <c r="D914" s="3"/>
    </row>
    <row r="915" spans="1:4">
      <c r="A915" s="3"/>
      <c r="D915" s="3"/>
    </row>
    <row r="916" spans="1:4">
      <c r="A916" s="3"/>
      <c r="D916" s="3"/>
    </row>
    <row r="917" spans="1:4">
      <c r="A917" s="3"/>
      <c r="D917" s="3"/>
    </row>
    <row r="918" spans="1:4">
      <c r="A918" s="3"/>
      <c r="D918" s="3"/>
    </row>
    <row r="919" spans="1:4">
      <c r="A919" s="3"/>
      <c r="D919" s="3"/>
    </row>
    <row r="920" spans="1:4">
      <c r="A920" s="3"/>
      <c r="D920" s="3"/>
    </row>
    <row r="921" spans="1:4">
      <c r="A921" s="3"/>
      <c r="D921" s="3"/>
    </row>
    <row r="922" spans="1:4">
      <c r="A922" s="3"/>
      <c r="D922" s="3"/>
    </row>
    <row r="923" spans="1:4">
      <c r="A923" s="3"/>
      <c r="D923" s="3"/>
    </row>
    <row r="924" spans="1:4">
      <c r="A924" s="3"/>
      <c r="D924" s="3"/>
    </row>
    <row r="925" spans="1:4">
      <c r="A925" s="3"/>
      <c r="D925" s="3"/>
    </row>
    <row r="926" spans="1:4">
      <c r="A926" s="3"/>
      <c r="D926" s="3"/>
    </row>
    <row r="927" spans="1:4">
      <c r="A927" s="3"/>
      <c r="D927" s="3"/>
    </row>
    <row r="928" spans="1:4">
      <c r="A928" s="3"/>
      <c r="D928" s="3"/>
    </row>
    <row r="929" spans="1:4">
      <c r="A929" s="3"/>
      <c r="D929" s="3"/>
    </row>
    <row r="930" spans="1:4">
      <c r="A930" s="3"/>
      <c r="D930" s="3"/>
    </row>
    <row r="931" spans="1:4">
      <c r="A931" s="3"/>
      <c r="D931" s="3"/>
    </row>
    <row r="932" spans="1:4">
      <c r="A932" s="3"/>
      <c r="D932" s="3"/>
    </row>
    <row r="933" spans="1:4">
      <c r="A933" s="3"/>
      <c r="D933" s="3"/>
    </row>
    <row r="934" spans="1:4">
      <c r="A934" s="3"/>
      <c r="D934" s="3"/>
    </row>
    <row r="935" spans="1:4">
      <c r="A935" s="3"/>
      <c r="D935" s="3"/>
    </row>
    <row r="936" spans="1:4">
      <c r="A936" s="3"/>
      <c r="D936" s="3"/>
    </row>
    <row r="937" spans="1:4">
      <c r="A937" s="3"/>
      <c r="D937" s="3"/>
    </row>
    <row r="938" spans="1:4">
      <c r="A938" s="3"/>
      <c r="D938" s="3"/>
    </row>
    <row r="939" spans="1:4">
      <c r="A939" s="3"/>
      <c r="D939" s="3"/>
    </row>
    <row r="940" spans="1:4">
      <c r="A940" s="3"/>
      <c r="D940" s="3"/>
    </row>
    <row r="941" spans="1:4">
      <c r="A941" s="3"/>
      <c r="D941" s="3"/>
    </row>
    <row r="942" spans="1:4">
      <c r="A942" s="3"/>
      <c r="D942" s="3"/>
    </row>
    <row r="943" spans="1:4">
      <c r="A943" s="3"/>
      <c r="D943" s="3"/>
    </row>
    <row r="944" spans="1:4">
      <c r="A944" s="3"/>
      <c r="D944" s="3"/>
    </row>
    <row r="945" spans="1:4">
      <c r="A945" s="3"/>
      <c r="D945" s="3"/>
    </row>
    <row r="946" spans="1:4">
      <c r="A946" s="3"/>
      <c r="D946" s="3"/>
    </row>
    <row r="947" spans="1:4">
      <c r="A947" s="3"/>
      <c r="D947" s="3"/>
    </row>
    <row r="948" spans="1:4">
      <c r="A948" s="3"/>
      <c r="D948" s="3"/>
    </row>
    <row r="949" spans="1:4">
      <c r="A949" s="3"/>
      <c r="D949" s="3"/>
    </row>
    <row r="950" spans="1:4">
      <c r="A950" s="3"/>
      <c r="D950" s="3"/>
    </row>
    <row r="951" spans="1:4">
      <c r="A951" s="3"/>
      <c r="D951" s="3"/>
    </row>
    <row r="952" spans="1:4">
      <c r="A952" s="3"/>
      <c r="D952" s="3"/>
    </row>
    <row r="953" spans="1:4">
      <c r="A953" s="3"/>
      <c r="D953" s="3"/>
    </row>
    <row r="954" spans="1:4">
      <c r="A954" s="3"/>
      <c r="D954" s="3"/>
    </row>
    <row r="955" spans="1:4">
      <c r="A955" s="3"/>
      <c r="D955" s="3"/>
    </row>
    <row r="956" spans="1:4">
      <c r="A956" s="3"/>
      <c r="D956" s="3"/>
    </row>
    <row r="957" spans="1:4">
      <c r="A957" s="3"/>
      <c r="D957" s="3"/>
    </row>
    <row r="958" spans="1:4">
      <c r="A958" s="3"/>
      <c r="D958" s="3"/>
    </row>
    <row r="959" spans="1:4">
      <c r="A959" s="3"/>
      <c r="D959" s="3"/>
    </row>
    <row r="960" spans="1:4">
      <c r="A960" s="3"/>
      <c r="D960" s="3"/>
    </row>
    <row r="961" spans="1:4">
      <c r="A961" s="3"/>
      <c r="D961" s="3"/>
    </row>
    <row r="962" spans="1:4">
      <c r="A962" s="3"/>
      <c r="D962" s="3"/>
    </row>
    <row r="963" spans="1:4">
      <c r="A963" s="3"/>
      <c r="D963" s="3"/>
    </row>
    <row r="964" spans="1:4">
      <c r="A964" s="3"/>
      <c r="D964" s="3"/>
    </row>
    <row r="965" spans="1:4">
      <c r="A965" s="3"/>
      <c r="D965" s="3"/>
    </row>
    <row r="966" spans="1:4">
      <c r="A966" s="3"/>
      <c r="D966" s="3"/>
    </row>
    <row r="967" spans="1:4">
      <c r="A967" s="3"/>
      <c r="D967" s="3"/>
    </row>
    <row r="968" spans="1:4">
      <c r="A968" s="3"/>
      <c r="D968" s="3"/>
    </row>
    <row r="969" spans="1:4">
      <c r="A969" s="3"/>
      <c r="D969" s="3"/>
    </row>
    <row r="970" spans="1:4">
      <c r="A970" s="3"/>
      <c r="D970" s="3"/>
    </row>
    <row r="971" spans="1:4">
      <c r="A971" s="3"/>
      <c r="D971" s="3"/>
    </row>
    <row r="972" spans="1:4">
      <c r="A972" s="3"/>
      <c r="D972" s="3"/>
    </row>
    <row r="973" spans="1:4">
      <c r="A973" s="3"/>
      <c r="D973" s="3"/>
    </row>
    <row r="974" spans="1:4">
      <c r="A974" s="3"/>
      <c r="D974" s="3"/>
    </row>
    <row r="975" spans="1:4">
      <c r="A975" s="3"/>
      <c r="D975" s="3"/>
    </row>
    <row r="976" spans="1:4">
      <c r="A976" s="3"/>
      <c r="D976" s="3"/>
    </row>
    <row r="977" spans="1:4">
      <c r="A977" s="3"/>
      <c r="D977" s="3"/>
    </row>
    <row r="978" spans="1:4">
      <c r="A978" s="3"/>
      <c r="D978" s="3"/>
    </row>
    <row r="979" spans="1:4">
      <c r="A979" s="3"/>
      <c r="D979" s="3"/>
    </row>
    <row r="980" spans="1:4">
      <c r="A980" s="3"/>
      <c r="D980" s="3"/>
    </row>
    <row r="981" spans="1:4">
      <c r="A981" s="3"/>
      <c r="D981" s="3"/>
    </row>
    <row r="982" spans="1:4">
      <c r="A982" s="3"/>
      <c r="D982" s="3"/>
    </row>
    <row r="983" spans="1:4">
      <c r="A983" s="3"/>
      <c r="D983" s="3"/>
    </row>
    <row r="984" spans="1:4">
      <c r="A984" s="3"/>
      <c r="D984" s="3"/>
    </row>
    <row r="985" spans="1:4">
      <c r="A985" s="3"/>
      <c r="D985" s="3"/>
    </row>
    <row r="986" spans="1:4">
      <c r="A986" s="3"/>
      <c r="D986" s="3"/>
    </row>
    <row r="987" spans="1:4">
      <c r="A987" s="3"/>
      <c r="D987" s="3"/>
    </row>
    <row r="988" spans="1:4">
      <c r="A988" s="3"/>
      <c r="D988" s="3"/>
    </row>
    <row r="989" spans="1:4">
      <c r="A989" s="3"/>
      <c r="D989" s="3"/>
    </row>
    <row r="990" spans="1:4">
      <c r="A990" s="3"/>
      <c r="D990" s="3"/>
    </row>
    <row r="991" spans="1:4">
      <c r="A991" s="3"/>
      <c r="D991" s="3"/>
    </row>
    <row r="992" spans="1:4">
      <c r="A992" s="3"/>
      <c r="D992" s="3"/>
    </row>
    <row r="993" spans="1:4">
      <c r="A993" s="3"/>
      <c r="D993" s="3"/>
    </row>
    <row r="994" spans="1:4">
      <c r="A994" s="3"/>
      <c r="D994" s="3"/>
    </row>
    <row r="995" spans="1:4">
      <c r="A995" s="3"/>
      <c r="D995" s="3"/>
    </row>
    <row r="996" spans="1:4">
      <c r="A996" s="3"/>
      <c r="D996" s="3"/>
    </row>
    <row r="997" spans="1:4">
      <c r="A997" s="3"/>
      <c r="D997" s="3"/>
    </row>
    <row r="998" spans="1:4">
      <c r="A998" s="3"/>
      <c r="D998" s="3"/>
    </row>
    <row r="999" spans="1:4">
      <c r="A999" s="3"/>
      <c r="D999" s="3"/>
    </row>
    <row r="1000" spans="1:4">
      <c r="A1000" s="3"/>
      <c r="D1000" s="3"/>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DCE49-973F-4D67-9CC7-7BBEA914475C}">
  <dimension ref="B31:Z87"/>
  <sheetViews>
    <sheetView topLeftCell="A37" workbookViewId="0">
      <selection activeCell="C73" sqref="C73"/>
    </sheetView>
  </sheetViews>
  <sheetFormatPr defaultRowHeight="12.75"/>
  <cols>
    <col min="3" max="3" width="35.42578125" bestFit="1" customWidth="1"/>
    <col min="4" max="4" width="37.28515625" bestFit="1" customWidth="1"/>
    <col min="5" max="5" width="13.42578125" bestFit="1" customWidth="1"/>
    <col min="6" max="8" width="12.28515625" bestFit="1" customWidth="1"/>
    <col min="9" max="9" width="16.42578125" customWidth="1"/>
    <col min="10" max="10" width="13.7109375" customWidth="1"/>
    <col min="15" max="15" width="35.42578125" bestFit="1" customWidth="1"/>
    <col min="16" max="16" width="11.28515625" bestFit="1" customWidth="1"/>
    <col min="17" max="18" width="12.28515625" bestFit="1" customWidth="1"/>
    <col min="19" max="19" width="12" customWidth="1"/>
    <col min="20" max="20" width="13.42578125" bestFit="1" customWidth="1"/>
    <col min="21" max="21" width="12.28515625" bestFit="1" customWidth="1"/>
    <col min="22" max="22" width="13.42578125" bestFit="1" customWidth="1"/>
  </cols>
  <sheetData>
    <row r="31" spans="3:21">
      <c r="C31" s="272" t="s">
        <v>365</v>
      </c>
      <c r="D31" s="25"/>
      <c r="E31" s="25">
        <v>800</v>
      </c>
      <c r="F31" s="25">
        <v>800</v>
      </c>
      <c r="G31" s="25">
        <v>800</v>
      </c>
      <c r="H31" s="25">
        <v>800</v>
      </c>
      <c r="I31" s="25">
        <v>800</v>
      </c>
      <c r="O31" s="272" t="s">
        <v>365</v>
      </c>
      <c r="Q31" s="25">
        <v>1500</v>
      </c>
      <c r="R31" s="25">
        <v>1500</v>
      </c>
      <c r="S31" s="25">
        <v>1500</v>
      </c>
      <c r="T31" s="25">
        <v>1500</v>
      </c>
      <c r="U31" s="25">
        <v>1500</v>
      </c>
    </row>
    <row r="32" spans="3:21">
      <c r="C32" s="27" t="s">
        <v>361</v>
      </c>
      <c r="D32" s="27" t="s">
        <v>112</v>
      </c>
      <c r="E32" s="27" t="s">
        <v>113</v>
      </c>
      <c r="F32" s="27" t="s">
        <v>114</v>
      </c>
      <c r="G32" s="27" t="s">
        <v>115</v>
      </c>
      <c r="H32" s="27" t="s">
        <v>116</v>
      </c>
      <c r="I32" s="27" t="s">
        <v>117</v>
      </c>
      <c r="O32" s="27" t="s">
        <v>360</v>
      </c>
      <c r="P32" s="27" t="s">
        <v>112</v>
      </c>
      <c r="Q32" s="27" t="s">
        <v>113</v>
      </c>
      <c r="R32" s="27" t="s">
        <v>114</v>
      </c>
      <c r="S32" s="27" t="s">
        <v>115</v>
      </c>
      <c r="T32" s="27" t="s">
        <v>116</v>
      </c>
      <c r="U32" s="27" t="s">
        <v>117</v>
      </c>
    </row>
    <row r="33" spans="3:26">
      <c r="C33" s="269" t="s">
        <v>118</v>
      </c>
      <c r="D33" s="270"/>
      <c r="E33" s="270"/>
      <c r="F33" s="270"/>
      <c r="G33" s="270"/>
      <c r="H33" s="270"/>
      <c r="I33" s="270"/>
      <c r="O33" s="269" t="s">
        <v>118</v>
      </c>
      <c r="P33" s="270"/>
      <c r="Q33" s="270"/>
      <c r="R33" s="270"/>
      <c r="S33" s="270"/>
      <c r="T33" s="270"/>
      <c r="U33" s="270"/>
    </row>
    <row r="34" spans="3:26">
      <c r="C34" s="25" t="s">
        <v>356</v>
      </c>
      <c r="D34" s="26">
        <f t="shared" ref="D34:I34" si="0">D31*255</f>
        <v>0</v>
      </c>
      <c r="E34" s="26">
        <f t="shared" si="0"/>
        <v>204000</v>
      </c>
      <c r="F34" s="26">
        <f t="shared" si="0"/>
        <v>204000</v>
      </c>
      <c r="G34" s="26">
        <f t="shared" si="0"/>
        <v>204000</v>
      </c>
      <c r="H34" s="26">
        <f t="shared" si="0"/>
        <v>204000</v>
      </c>
      <c r="I34" s="26">
        <f t="shared" si="0"/>
        <v>204000</v>
      </c>
      <c r="O34" s="25" t="s">
        <v>356</v>
      </c>
      <c r="P34" s="26"/>
      <c r="Q34" s="26">
        <f>180*Q31</f>
        <v>270000</v>
      </c>
      <c r="R34" s="26">
        <f>180*R31</f>
        <v>270000</v>
      </c>
      <c r="S34" s="26">
        <f>180*S31</f>
        <v>270000</v>
      </c>
      <c r="T34" s="26">
        <f>180*T31</f>
        <v>270000</v>
      </c>
      <c r="U34" s="26">
        <f>180*U31</f>
        <v>270000</v>
      </c>
    </row>
    <row r="35" spans="3:26">
      <c r="C35" s="25" t="s">
        <v>119</v>
      </c>
      <c r="D35" s="26"/>
      <c r="E35" s="26"/>
      <c r="F35" s="26"/>
      <c r="G35" s="26"/>
      <c r="H35" s="26"/>
      <c r="I35" s="26"/>
      <c r="O35" s="25" t="s">
        <v>119</v>
      </c>
      <c r="P35" s="26"/>
      <c r="Q35" s="26"/>
      <c r="R35" s="26"/>
      <c r="S35" s="26"/>
      <c r="T35" s="26"/>
      <c r="U35" s="279">
        <f>P53/2+5000/2</f>
        <v>47500</v>
      </c>
      <c r="V35" s="1640" t="s">
        <v>388</v>
      </c>
      <c r="W35" s="1638"/>
      <c r="X35" s="1638"/>
      <c r="Y35" s="1638"/>
      <c r="Z35" s="1638"/>
    </row>
    <row r="36" spans="3:26">
      <c r="C36" s="25" t="s">
        <v>332</v>
      </c>
      <c r="D36" s="26"/>
      <c r="E36" s="26"/>
      <c r="F36" s="26"/>
      <c r="G36" s="26"/>
      <c r="H36" s="26"/>
      <c r="I36" s="279">
        <f>(80000+15000)/2</f>
        <v>47500</v>
      </c>
      <c r="J36" s="1639" t="s">
        <v>387</v>
      </c>
      <c r="K36" s="1638"/>
      <c r="L36" s="1638"/>
      <c r="M36" s="1638"/>
      <c r="O36" s="25" t="s">
        <v>332</v>
      </c>
      <c r="P36" s="26"/>
      <c r="Q36" s="26"/>
      <c r="R36" s="26"/>
      <c r="S36" s="26"/>
      <c r="T36" s="26"/>
      <c r="U36" s="26"/>
      <c r="V36" s="1641"/>
      <c r="W36" s="1638"/>
      <c r="X36" s="1638"/>
      <c r="Y36" s="1638"/>
      <c r="Z36" s="1638"/>
    </row>
    <row r="37" spans="3:26">
      <c r="C37" s="269" t="s">
        <v>121</v>
      </c>
      <c r="D37" s="270"/>
      <c r="E37" s="270"/>
      <c r="F37" s="270"/>
      <c r="G37" s="270"/>
      <c r="H37" s="270"/>
      <c r="I37" s="270"/>
      <c r="J37" s="1638"/>
      <c r="K37" s="1638"/>
      <c r="L37" s="1638"/>
      <c r="M37" s="1638"/>
      <c r="O37" s="269" t="s">
        <v>121</v>
      </c>
      <c r="P37" s="270"/>
      <c r="Q37" s="270"/>
      <c r="R37" s="270"/>
      <c r="S37" s="270"/>
      <c r="T37" s="270"/>
      <c r="U37" s="270"/>
      <c r="V37" s="1641"/>
      <c r="W37" s="1638"/>
      <c r="X37" s="1638"/>
      <c r="Y37" s="1638"/>
      <c r="Z37" s="1638"/>
    </row>
    <row r="38" spans="3:26">
      <c r="C38" s="25" t="s">
        <v>122</v>
      </c>
      <c r="D38" s="26"/>
      <c r="E38" s="26">
        <f>-D71</f>
        <v>-12692.033203125045</v>
      </c>
      <c r="F38" s="26">
        <f>-D72</f>
        <v>-9066.8992872728668</v>
      </c>
      <c r="G38" s="26">
        <f>-D73</f>
        <v>-4866.6363710985552</v>
      </c>
      <c r="H38" s="26"/>
      <c r="I38" s="26"/>
      <c r="J38" s="1638"/>
      <c r="K38" s="1638"/>
      <c r="L38" s="1638"/>
      <c r="M38" s="1638"/>
      <c r="O38" s="25" t="s">
        <v>122</v>
      </c>
      <c r="P38" s="26"/>
      <c r="Q38" s="26">
        <f>-Q70</f>
        <v>-16550.255541607603</v>
      </c>
      <c r="R38" s="26">
        <f>-Q71</f>
        <v>-11033.50369440507</v>
      </c>
      <c r="S38" s="26">
        <f>-Q72</f>
        <v>-5516.7518472025349</v>
      </c>
      <c r="T38" s="26"/>
      <c r="U38" s="26"/>
      <c r="V38" s="1641"/>
      <c r="W38" s="1638"/>
      <c r="X38" s="1638"/>
      <c r="Y38" s="1638"/>
      <c r="Z38" s="1638"/>
    </row>
    <row r="39" spans="3:26">
      <c r="C39" s="47" t="s">
        <v>382</v>
      </c>
      <c r="D39" s="26"/>
      <c r="E39" s="26">
        <v>-22000</v>
      </c>
      <c r="F39" s="26">
        <v>-22000</v>
      </c>
      <c r="G39" s="26">
        <v>-22000</v>
      </c>
      <c r="H39" s="26">
        <v>-22000</v>
      </c>
      <c r="I39" s="59">
        <v>-22000</v>
      </c>
      <c r="J39" s="1638"/>
      <c r="K39" s="1638"/>
      <c r="L39" s="1638"/>
      <c r="M39" s="1638"/>
      <c r="O39" s="25" t="s">
        <v>123</v>
      </c>
      <c r="P39" s="26"/>
      <c r="Q39" s="26">
        <v>-29000</v>
      </c>
      <c r="R39" s="26">
        <v>-29000</v>
      </c>
      <c r="S39" s="26">
        <v>-29000</v>
      </c>
      <c r="T39" s="26">
        <v>-29000</v>
      </c>
      <c r="U39" s="26">
        <v>-29000</v>
      </c>
      <c r="V39" s="1641"/>
      <c r="W39" s="1638"/>
      <c r="X39" s="1638"/>
      <c r="Y39" s="1638"/>
      <c r="Z39" s="1638"/>
    </row>
    <row r="40" spans="3:26">
      <c r="C40" s="47" t="s">
        <v>186</v>
      </c>
      <c r="D40" s="26"/>
      <c r="E40" s="26">
        <f>E34*-0.03</f>
        <v>-6120</v>
      </c>
      <c r="F40" s="26">
        <f>F34*-0.03</f>
        <v>-6120</v>
      </c>
      <c r="G40" s="26">
        <f>G34*-0.03</f>
        <v>-6120</v>
      </c>
      <c r="H40" s="26">
        <f>H34*-0.03</f>
        <v>-6120</v>
      </c>
      <c r="I40" s="26">
        <f>I34*-0.03</f>
        <v>-6120</v>
      </c>
      <c r="J40" s="1638"/>
      <c r="K40" s="1638"/>
      <c r="L40" s="1638"/>
      <c r="M40" s="1638"/>
      <c r="O40" s="25" t="s">
        <v>226</v>
      </c>
      <c r="P40" s="26"/>
      <c r="Q40" s="26">
        <f>Q34*-0.03</f>
        <v>-8100</v>
      </c>
      <c r="R40" s="26">
        <f>R34*-0.03</f>
        <v>-8100</v>
      </c>
      <c r="S40" s="26">
        <f>S34*-0.03</f>
        <v>-8100</v>
      </c>
      <c r="T40" s="26">
        <f>T34*-0.03</f>
        <v>-8100</v>
      </c>
      <c r="U40" s="26">
        <f>U34*-0.03</f>
        <v>-8100</v>
      </c>
      <c r="V40" s="1641"/>
      <c r="W40" s="1638"/>
      <c r="X40" s="1638"/>
      <c r="Y40" s="1638"/>
      <c r="Z40" s="1638"/>
    </row>
    <row r="41" spans="3:26">
      <c r="C41" s="199" t="s">
        <v>385</v>
      </c>
      <c r="D41" s="26"/>
      <c r="E41" s="26">
        <f>-1*E31*J64</f>
        <v>-136000</v>
      </c>
      <c r="F41" s="26">
        <f>-1*E31*J64</f>
        <v>-136000</v>
      </c>
      <c r="G41" s="26">
        <f>-1*E31*J64</f>
        <v>-136000</v>
      </c>
      <c r="H41" s="26">
        <f>-1*E31*J64</f>
        <v>-136000</v>
      </c>
      <c r="I41" s="26">
        <f>-1*E31*J64</f>
        <v>-136000</v>
      </c>
      <c r="J41" s="1638"/>
      <c r="K41" s="1638"/>
      <c r="L41" s="1638"/>
      <c r="M41" s="1638"/>
      <c r="O41" s="25" t="s">
        <v>124</v>
      </c>
      <c r="P41" s="26"/>
      <c r="Q41" s="26">
        <f>-Q31*Q65</f>
        <v>-172500</v>
      </c>
      <c r="R41" s="26">
        <f>-R31*Q65</f>
        <v>-172500</v>
      </c>
      <c r="S41" s="26">
        <f>-S31*Q65</f>
        <v>-172500</v>
      </c>
      <c r="T41" s="26">
        <f>-T31*Q65</f>
        <v>-172500</v>
      </c>
      <c r="U41" s="26">
        <f>-U31*Q65</f>
        <v>-172500</v>
      </c>
      <c r="V41" s="1641"/>
      <c r="W41" s="1638"/>
      <c r="X41" s="1638"/>
      <c r="Y41" s="1638"/>
      <c r="Z41" s="1638"/>
    </row>
    <row r="42" spans="3:26">
      <c r="C42" s="267" t="s">
        <v>125</v>
      </c>
      <c r="D42" s="268"/>
      <c r="E42" s="268"/>
      <c r="F42" s="268"/>
      <c r="G42" s="268"/>
      <c r="H42" s="268"/>
      <c r="I42" s="268"/>
      <c r="J42" s="1638"/>
      <c r="K42" s="1638"/>
      <c r="L42" s="1638"/>
      <c r="M42" s="1638"/>
      <c r="O42" s="267" t="s">
        <v>125</v>
      </c>
      <c r="P42" s="268"/>
      <c r="Q42" s="268"/>
      <c r="R42" s="268"/>
      <c r="S42" s="268"/>
      <c r="T42" s="268"/>
      <c r="U42" s="268"/>
      <c r="V42" s="1641"/>
      <c r="W42" s="1638"/>
      <c r="X42" s="1638"/>
      <c r="Y42" s="1638"/>
      <c r="Z42" s="1638"/>
    </row>
    <row r="43" spans="3:26">
      <c r="C43" s="25" t="s">
        <v>126</v>
      </c>
      <c r="D43" s="26"/>
      <c r="E43" s="26">
        <f>D54/10</f>
        <v>-8000</v>
      </c>
      <c r="F43" s="26">
        <f>D54/10</f>
        <v>-8000</v>
      </c>
      <c r="G43" s="26">
        <f>D54/10</f>
        <v>-8000</v>
      </c>
      <c r="H43" s="26">
        <f>D54/10</f>
        <v>-8000</v>
      </c>
      <c r="I43" s="26">
        <f>D54/10</f>
        <v>-8000</v>
      </c>
      <c r="O43" s="25" t="s">
        <v>126</v>
      </c>
      <c r="P43" s="26"/>
      <c r="Q43" s="26">
        <f>P54/10</f>
        <v>-9000</v>
      </c>
      <c r="R43" s="26">
        <f>P54/10</f>
        <v>-9000</v>
      </c>
      <c r="S43" s="26">
        <f>P54/10</f>
        <v>-9000</v>
      </c>
      <c r="T43" s="26">
        <f>P54/10</f>
        <v>-9000</v>
      </c>
      <c r="U43" s="26">
        <f>P54/10</f>
        <v>-9000</v>
      </c>
    </row>
    <row r="44" spans="3:26">
      <c r="C44" s="25" t="s">
        <v>127</v>
      </c>
      <c r="D44" s="26"/>
      <c r="E44" s="26"/>
      <c r="F44" s="26"/>
      <c r="G44" s="26"/>
      <c r="H44" s="26"/>
      <c r="I44" s="26"/>
      <c r="O44" s="25" t="s">
        <v>127</v>
      </c>
      <c r="P44" s="26"/>
      <c r="Q44" s="26"/>
      <c r="R44" s="26"/>
      <c r="S44" s="26"/>
      <c r="T44" s="26"/>
      <c r="U44" s="26"/>
    </row>
    <row r="45" spans="3:26">
      <c r="C45" s="25" t="s">
        <v>129</v>
      </c>
      <c r="D45" s="26"/>
      <c r="E45" s="26"/>
      <c r="F45" s="26"/>
      <c r="G45" s="26"/>
      <c r="H45" s="26"/>
      <c r="I45" s="26"/>
      <c r="O45" s="25" t="s">
        <v>129</v>
      </c>
      <c r="P45" s="26"/>
      <c r="Q45" s="26"/>
      <c r="R45" s="26"/>
      <c r="S45" s="26"/>
      <c r="T45" s="26"/>
      <c r="U45" s="26"/>
    </row>
    <row r="46" spans="3:26">
      <c r="C46" s="25" t="s">
        <v>333</v>
      </c>
      <c r="D46" s="26"/>
      <c r="E46" s="26"/>
      <c r="F46" s="26"/>
      <c r="G46" s="26"/>
      <c r="H46" s="26"/>
      <c r="I46" s="26">
        <f>-8000*5</f>
        <v>-40000</v>
      </c>
      <c r="O46" s="25" t="s">
        <v>333</v>
      </c>
      <c r="P46" s="26"/>
      <c r="Q46" s="26"/>
      <c r="R46" s="26"/>
      <c r="S46" s="26"/>
      <c r="T46" s="26"/>
      <c r="U46" s="26">
        <f>-1*5*9000</f>
        <v>-45000</v>
      </c>
    </row>
    <row r="47" spans="3:26">
      <c r="C47" s="25" t="s">
        <v>334</v>
      </c>
      <c r="D47" s="26"/>
      <c r="E47" s="26"/>
      <c r="F47" s="26"/>
      <c r="G47" s="26"/>
      <c r="H47" s="26"/>
      <c r="I47" s="26"/>
      <c r="O47" s="25" t="s">
        <v>334</v>
      </c>
      <c r="P47" s="26"/>
      <c r="Q47" s="26"/>
      <c r="R47" s="26"/>
      <c r="S47" s="26"/>
      <c r="T47" s="26"/>
      <c r="U47" s="26"/>
    </row>
    <row r="48" spans="3:26" ht="14.25">
      <c r="C48" s="31" t="s">
        <v>130</v>
      </c>
      <c r="D48" s="32"/>
      <c r="E48" s="32">
        <f>SUM(E33:E47)</f>
        <v>19187.966796874942</v>
      </c>
      <c r="F48" s="32">
        <f>SUM(F33:F47)</f>
        <v>22813.100712727144</v>
      </c>
      <c r="G48" s="32">
        <f>SUM(G33:G47)</f>
        <v>27013.363628901454</v>
      </c>
      <c r="H48" s="32">
        <f>SUM(H33:H47)</f>
        <v>31880</v>
      </c>
      <c r="I48" s="32">
        <f>SUM(I33:I47)</f>
        <v>39380</v>
      </c>
      <c r="O48" s="31" t="s">
        <v>130</v>
      </c>
      <c r="P48" s="32"/>
      <c r="Q48" s="32">
        <f>SUM(Q33:Q47)</f>
        <v>34849.744458392408</v>
      </c>
      <c r="R48" s="32">
        <f>SUM(R33:R47)</f>
        <v>40366.496305594919</v>
      </c>
      <c r="S48" s="32">
        <f>SUM(S33:S47)</f>
        <v>45883.24815279746</v>
      </c>
      <c r="T48" s="32">
        <f>SUM(T33:T47)</f>
        <v>51400</v>
      </c>
      <c r="U48" s="32">
        <f>SUM(U33:U47)</f>
        <v>53900</v>
      </c>
    </row>
    <row r="49" spans="2:22">
      <c r="C49" s="33" t="s">
        <v>367</v>
      </c>
      <c r="D49" s="26"/>
      <c r="E49" s="26">
        <f>E48*0.35</f>
        <v>6715.7883789062289</v>
      </c>
      <c r="F49" s="26">
        <f>F48*0.35</f>
        <v>7984.5852494544997</v>
      </c>
      <c r="G49" s="26">
        <f>G48*0.35</f>
        <v>9454.6772701155078</v>
      </c>
      <c r="H49" s="26">
        <f>H48*0.35</f>
        <v>11158</v>
      </c>
      <c r="I49" s="26">
        <f>I48*0.35</f>
        <v>13783</v>
      </c>
      <c r="O49" s="33" t="s">
        <v>349</v>
      </c>
      <c r="P49" s="26"/>
      <c r="Q49" s="26">
        <f>Q48*0.35</f>
        <v>12197.410560437342</v>
      </c>
      <c r="R49" s="26">
        <f>R48*0.35</f>
        <v>14128.273706958222</v>
      </c>
      <c r="S49" s="26">
        <f>S48*0.35</f>
        <v>16059.136853479109</v>
      </c>
      <c r="T49" s="26">
        <f>T48*0.35</f>
        <v>17990</v>
      </c>
      <c r="U49" s="26">
        <f>U48*0.35</f>
        <v>18865</v>
      </c>
    </row>
    <row r="50" spans="2:22" ht="28.5">
      <c r="C50" s="34" t="s">
        <v>132</v>
      </c>
      <c r="D50" s="35"/>
      <c r="E50" s="35">
        <f>E48-E49</f>
        <v>12472.178417968713</v>
      </c>
      <c r="F50" s="35">
        <f>F48-F49</f>
        <v>14828.515463272644</v>
      </c>
      <c r="G50" s="35">
        <f>G48-G49</f>
        <v>17558.686358785948</v>
      </c>
      <c r="H50" s="35">
        <f>H48-H49</f>
        <v>20722</v>
      </c>
      <c r="I50" s="35">
        <f>I48-I49</f>
        <v>25597</v>
      </c>
      <c r="O50" s="34" t="s">
        <v>132</v>
      </c>
      <c r="P50" s="35"/>
      <c r="Q50" s="35">
        <f>Q48-Q49</f>
        <v>22652.333897955068</v>
      </c>
      <c r="R50" s="35">
        <f>R48-R49</f>
        <v>26238.222598636698</v>
      </c>
      <c r="S50" s="35">
        <f>S48-S49</f>
        <v>29824.111299318349</v>
      </c>
      <c r="T50" s="35">
        <f>T48-T49</f>
        <v>33410</v>
      </c>
      <c r="U50" s="35">
        <f>U48-U49</f>
        <v>35035</v>
      </c>
    </row>
    <row r="51" spans="2:22">
      <c r="C51" s="33" t="s">
        <v>133</v>
      </c>
      <c r="D51" s="26"/>
      <c r="E51" s="26">
        <f>-SUM(E43:E47)</f>
        <v>8000</v>
      </c>
      <c r="F51" s="26">
        <f>-SUM(F43:F47)</f>
        <v>8000</v>
      </c>
      <c r="G51" s="26">
        <f>-SUM(G43:G47)</f>
        <v>8000</v>
      </c>
      <c r="H51" s="26">
        <f>-SUM(H43:H47)</f>
        <v>8000</v>
      </c>
      <c r="I51" s="26">
        <f>-SUM(I43:I47)</f>
        <v>48000</v>
      </c>
      <c r="O51" s="33" t="s">
        <v>133</v>
      </c>
      <c r="P51" s="26"/>
      <c r="Q51" s="26">
        <f>-SUM(Q43:Q47)</f>
        <v>9000</v>
      </c>
      <c r="R51" s="26">
        <f>-SUM(R43:R47)</f>
        <v>9000</v>
      </c>
      <c r="S51" s="26">
        <f>-SUM(S43:S47)</f>
        <v>9000</v>
      </c>
      <c r="T51" s="26">
        <f>-SUM(T43:T47)</f>
        <v>9000</v>
      </c>
      <c r="U51" s="26">
        <f>-SUM(U43:U47)</f>
        <v>54000</v>
      </c>
    </row>
    <row r="52" spans="2:22">
      <c r="C52" s="25" t="s">
        <v>134</v>
      </c>
      <c r="D52" s="26"/>
      <c r="E52" s="26">
        <f>-E71</f>
        <v>-22849.823084040436</v>
      </c>
      <c r="F52" s="26">
        <f>-E72</f>
        <v>-26474.956999892613</v>
      </c>
      <c r="G52" s="26">
        <f>-E73</f>
        <v>-30675.219916066926</v>
      </c>
      <c r="H52" s="26"/>
      <c r="I52" s="26"/>
      <c r="O52" s="25" t="s">
        <v>134</v>
      </c>
      <c r="P52" s="26"/>
      <c r="Q52" s="26">
        <f>-R70</f>
        <v>-30000</v>
      </c>
      <c r="R52" s="26">
        <f>-R71</f>
        <v>-30000</v>
      </c>
      <c r="S52" s="26">
        <f>-R72</f>
        <v>-30000</v>
      </c>
      <c r="U52" s="26">
        <f>-P73</f>
        <v>0</v>
      </c>
    </row>
    <row r="53" spans="2:22">
      <c r="C53" s="25" t="s">
        <v>135</v>
      </c>
      <c r="D53" s="26">
        <v>80000</v>
      </c>
      <c r="E53" s="26"/>
      <c r="F53" s="26"/>
      <c r="G53" s="26"/>
      <c r="H53" s="26"/>
      <c r="I53" s="26"/>
      <c r="O53" s="25" t="s">
        <v>135</v>
      </c>
      <c r="P53" s="26">
        <v>90000</v>
      </c>
      <c r="Q53" s="26"/>
      <c r="R53" s="26"/>
      <c r="S53" s="26"/>
      <c r="T53" s="26"/>
      <c r="U53" s="26"/>
    </row>
    <row r="54" spans="2:22">
      <c r="C54" s="25" t="s">
        <v>136</v>
      </c>
      <c r="D54" s="26">
        <v>-80000</v>
      </c>
      <c r="E54" s="26"/>
      <c r="F54" s="26"/>
      <c r="G54" s="26"/>
      <c r="H54" s="26"/>
      <c r="I54" s="26"/>
      <c r="O54" s="25" t="s">
        <v>136</v>
      </c>
      <c r="P54" s="26">
        <v>-90000</v>
      </c>
      <c r="Q54" s="26"/>
      <c r="R54" s="26"/>
      <c r="S54" s="26"/>
      <c r="T54" s="26"/>
      <c r="U54" s="26"/>
    </row>
    <row r="55" spans="2:22">
      <c r="C55" s="25" t="s">
        <v>137</v>
      </c>
      <c r="D55" s="26">
        <v>0</v>
      </c>
      <c r="E55" s="26"/>
      <c r="F55" s="26"/>
      <c r="G55" s="26"/>
      <c r="H55" s="26"/>
      <c r="I55" s="26"/>
      <c r="O55" s="25" t="s">
        <v>137</v>
      </c>
      <c r="P55" s="26">
        <v>0</v>
      </c>
      <c r="Q55" s="26"/>
      <c r="R55" s="26"/>
      <c r="S55" s="26"/>
      <c r="T55" s="26"/>
      <c r="U55" s="26"/>
    </row>
    <row r="56" spans="2:22" ht="14.25">
      <c r="C56" s="37" t="s">
        <v>139</v>
      </c>
      <c r="D56" s="35">
        <f t="shared" ref="D56:I56" si="1">SUM(D50:D55)</f>
        <v>0</v>
      </c>
      <c r="E56" s="35">
        <f t="shared" si="1"/>
        <v>-2377.6446660717229</v>
      </c>
      <c r="F56" s="35">
        <f t="shared" si="1"/>
        <v>-3646.4415366199682</v>
      </c>
      <c r="G56" s="35">
        <f t="shared" si="1"/>
        <v>-5116.5335572809781</v>
      </c>
      <c r="H56" s="35">
        <f t="shared" si="1"/>
        <v>28722</v>
      </c>
      <c r="I56" s="35">
        <f t="shared" si="1"/>
        <v>73597</v>
      </c>
      <c r="J56" s="275">
        <f>NPV(C78,E56:I56)+D56</f>
        <v>55487.596846611006</v>
      </c>
      <c r="O56" s="37" t="s">
        <v>139</v>
      </c>
      <c r="P56" s="35">
        <f t="shared" ref="P56:U56" si="2">SUM(P50:P55)</f>
        <v>0</v>
      </c>
      <c r="Q56" s="35">
        <f t="shared" si="2"/>
        <v>1652.3338979550681</v>
      </c>
      <c r="R56" s="35">
        <f t="shared" si="2"/>
        <v>5238.2225986366975</v>
      </c>
      <c r="S56" s="35">
        <f t="shared" si="2"/>
        <v>8824.1112993183488</v>
      </c>
      <c r="T56" s="35">
        <f t="shared" si="2"/>
        <v>42410</v>
      </c>
      <c r="U56" s="35">
        <f t="shared" si="2"/>
        <v>89035</v>
      </c>
      <c r="V56" s="276">
        <f>NPV(C78,Q56:U56)+P56</f>
        <v>95521.685749336044</v>
      </c>
    </row>
    <row r="57" spans="2:22">
      <c r="C57" s="3"/>
      <c r="E57" s="5"/>
      <c r="F57" s="5"/>
      <c r="G57" s="5"/>
      <c r="H57" s="5"/>
      <c r="I57" s="5"/>
    </row>
    <row r="59" spans="2:22">
      <c r="S59" s="258"/>
      <c r="T59" s="274"/>
    </row>
    <row r="61" spans="2:22">
      <c r="C61" s="259" t="s">
        <v>0</v>
      </c>
      <c r="D61" t="s">
        <v>554</v>
      </c>
      <c r="I61" s="25" t="s">
        <v>384</v>
      </c>
      <c r="J61" s="25">
        <v>50</v>
      </c>
      <c r="K61" s="25"/>
    </row>
    <row r="62" spans="2:22">
      <c r="B62" s="21"/>
      <c r="C62" s="260">
        <v>0.15</v>
      </c>
      <c r="D62" s="261" t="s">
        <v>3</v>
      </c>
      <c r="E62" s="261" t="s">
        <v>3</v>
      </c>
      <c r="I62" s="25" t="s">
        <v>181</v>
      </c>
      <c r="J62" s="25">
        <v>90</v>
      </c>
      <c r="K62" s="25"/>
      <c r="M62" s="259" t="s">
        <v>0</v>
      </c>
      <c r="P62" s="25" t="s">
        <v>384</v>
      </c>
      <c r="Q62" s="25">
        <v>40</v>
      </c>
    </row>
    <row r="63" spans="2:22">
      <c r="B63" s="21"/>
      <c r="C63" s="23" t="s">
        <v>3</v>
      </c>
      <c r="D63" s="261">
        <f>(1+C62/4)^4</f>
        <v>1.1586504150390631</v>
      </c>
      <c r="E63" s="266">
        <f>D63-1</f>
        <v>0.15865041503906308</v>
      </c>
      <c r="I63" s="25" t="s">
        <v>383</v>
      </c>
      <c r="J63" s="25">
        <v>30</v>
      </c>
      <c r="K63" s="25"/>
      <c r="M63" s="260">
        <v>0.17</v>
      </c>
      <c r="N63" s="261" t="s">
        <v>3</v>
      </c>
      <c r="O63" s="261" t="s">
        <v>3</v>
      </c>
      <c r="P63" s="25" t="s">
        <v>181</v>
      </c>
      <c r="Q63" s="25">
        <v>60</v>
      </c>
    </row>
    <row r="64" spans="2:22">
      <c r="B64" s="21"/>
      <c r="C64" s="23"/>
      <c r="I64" s="25" t="s">
        <v>364</v>
      </c>
      <c r="J64" s="271">
        <f>SUM(J61:J63)</f>
        <v>170</v>
      </c>
      <c r="K64" s="271"/>
      <c r="M64" s="23" t="s">
        <v>3</v>
      </c>
      <c r="N64" s="261">
        <f>(1+M63/12)^12</f>
        <v>1.1838917282400845</v>
      </c>
      <c r="O64" s="266">
        <f>N64-1</f>
        <v>0.18389172824008448</v>
      </c>
      <c r="P64" s="25" t="s">
        <v>383</v>
      </c>
      <c r="Q64" s="25">
        <v>15</v>
      </c>
    </row>
    <row r="65" spans="2:19">
      <c r="B65" s="21"/>
      <c r="C65" s="39"/>
      <c r="M65" t="s">
        <v>288</v>
      </c>
      <c r="N65">
        <v>3</v>
      </c>
      <c r="P65" s="25" t="s">
        <v>364</v>
      </c>
      <c r="Q65" s="271">
        <f>SUM(Q62:Q64)</f>
        <v>115</v>
      </c>
    </row>
    <row r="66" spans="2:19">
      <c r="B66" s="21"/>
      <c r="C66" s="23"/>
    </row>
    <row r="67" spans="2:19">
      <c r="O67" s="1615" t="s">
        <v>386</v>
      </c>
      <c r="P67" s="1613"/>
      <c r="Q67" s="1613"/>
      <c r="R67" s="1613"/>
      <c r="S67" s="1614"/>
    </row>
    <row r="68" spans="2:19">
      <c r="B68" s="1615" t="s">
        <v>103</v>
      </c>
      <c r="C68" s="1613"/>
      <c r="D68" s="1613"/>
      <c r="E68" s="1613"/>
      <c r="F68" s="1614"/>
      <c r="O68" s="24" t="s">
        <v>105</v>
      </c>
      <c r="P68" s="24" t="s">
        <v>109</v>
      </c>
      <c r="Q68" s="24" t="s">
        <v>102</v>
      </c>
      <c r="R68" s="24" t="s">
        <v>134</v>
      </c>
      <c r="S68" s="24" t="s">
        <v>107</v>
      </c>
    </row>
    <row r="69" spans="2:19">
      <c r="B69" s="24" t="s">
        <v>105</v>
      </c>
      <c r="C69" s="24" t="s">
        <v>106</v>
      </c>
      <c r="D69" s="24" t="s">
        <v>102</v>
      </c>
      <c r="E69" s="24" t="s">
        <v>134</v>
      </c>
      <c r="F69" s="24" t="s">
        <v>107</v>
      </c>
      <c r="O69" s="25"/>
      <c r="P69" s="26"/>
      <c r="Q69" s="26"/>
      <c r="R69" s="26"/>
      <c r="S69" s="26">
        <f>P53</f>
        <v>90000</v>
      </c>
    </row>
    <row r="70" spans="2:19">
      <c r="B70" s="25"/>
      <c r="C70" s="26"/>
      <c r="D70" s="26"/>
      <c r="E70" s="26"/>
      <c r="F70" s="26">
        <f>D53</f>
        <v>80000</v>
      </c>
      <c r="O70" s="25">
        <v>1</v>
      </c>
      <c r="P70" s="26">
        <f>R70+Q70</f>
        <v>46550.255541607607</v>
      </c>
      <c r="Q70" s="26">
        <f>S69*O64</f>
        <v>16550.255541607603</v>
      </c>
      <c r="R70" s="26">
        <f>S69/N65</f>
        <v>30000</v>
      </c>
      <c r="S70" s="26">
        <f>S69-R70</f>
        <v>60000</v>
      </c>
    </row>
    <row r="71" spans="2:19">
      <c r="B71" s="25">
        <v>1</v>
      </c>
      <c r="C71" s="26">
        <f>E63*F70/(1-(1+E63)^-3)</f>
        <v>35541.856287165479</v>
      </c>
      <c r="D71" s="26">
        <f>F70*E63</f>
        <v>12692.033203125045</v>
      </c>
      <c r="E71" s="26">
        <f>C71-D71</f>
        <v>22849.823084040436</v>
      </c>
      <c r="F71" s="26">
        <f>F70-E71</f>
        <v>57150.176915959564</v>
      </c>
      <c r="O71" s="25">
        <v>2</v>
      </c>
      <c r="P71" s="26">
        <f>R71+Q71</f>
        <v>41033.503694405066</v>
      </c>
      <c r="Q71" s="26">
        <f>S70*O64</f>
        <v>11033.50369440507</v>
      </c>
      <c r="R71" s="26">
        <f>S69/N65</f>
        <v>30000</v>
      </c>
      <c r="S71" s="26">
        <f>S70-R71</f>
        <v>30000</v>
      </c>
    </row>
    <row r="72" spans="2:19">
      <c r="B72" s="25">
        <v>2</v>
      </c>
      <c r="C72" s="26">
        <f>E63*F70/(1-(1+E63)^-3)</f>
        <v>35541.856287165479</v>
      </c>
      <c r="D72" s="26">
        <f>F71*E63</f>
        <v>9066.8992872728668</v>
      </c>
      <c r="E72" s="26">
        <f>C72-D72</f>
        <v>26474.956999892613</v>
      </c>
      <c r="F72" s="26">
        <f>F71-E72</f>
        <v>30675.219916066952</v>
      </c>
      <c r="O72" s="25">
        <v>3</v>
      </c>
      <c r="P72" s="26">
        <f>R72+Q72</f>
        <v>35516.751847202533</v>
      </c>
      <c r="Q72" s="26">
        <f>S71*O64</f>
        <v>5516.7518472025349</v>
      </c>
      <c r="R72" s="26">
        <f>S69/N65</f>
        <v>30000</v>
      </c>
      <c r="S72" s="26">
        <f>S71-R72</f>
        <v>0</v>
      </c>
    </row>
    <row r="73" spans="2:19">
      <c r="B73" s="25">
        <v>3</v>
      </c>
      <c r="C73" s="26">
        <f>E63*F70/(1-(1+E63)^-3)</f>
        <v>35541.856287165479</v>
      </c>
      <c r="D73" s="26">
        <f>E63*F72</f>
        <v>4866.6363710985552</v>
      </c>
      <c r="E73" s="26">
        <f>C73-D73</f>
        <v>30675.219916066926</v>
      </c>
      <c r="F73" s="26">
        <f>F72-E73</f>
        <v>0</v>
      </c>
      <c r="O73" s="25"/>
      <c r="P73" s="26"/>
      <c r="Q73" s="26"/>
      <c r="R73" s="26"/>
      <c r="S73" s="26"/>
    </row>
    <row r="74" spans="2:19">
      <c r="B74" s="25"/>
      <c r="C74" s="26"/>
      <c r="D74" s="26"/>
      <c r="E74" s="26"/>
      <c r="F74" s="26"/>
      <c r="O74" s="25"/>
      <c r="P74" s="26"/>
      <c r="Q74" s="26"/>
      <c r="R74" s="26"/>
      <c r="S74" s="26"/>
    </row>
    <row r="75" spans="2:19">
      <c r="B75" s="25"/>
      <c r="C75" s="26"/>
      <c r="D75" s="26"/>
      <c r="E75" s="26"/>
      <c r="F75" s="26"/>
    </row>
    <row r="77" spans="2:19" ht="13.5" thickBot="1"/>
    <row r="78" spans="2:19" ht="14.25">
      <c r="B78" s="40" t="s">
        <v>140</v>
      </c>
      <c r="C78" s="41">
        <f>(C80*C86)+ (C85*C87*(1-C84))</f>
        <v>0.103122769775391</v>
      </c>
    </row>
    <row r="79" spans="2:19" ht="15">
      <c r="B79" s="42" t="s">
        <v>141</v>
      </c>
      <c r="C79" s="43" t="s">
        <v>142</v>
      </c>
      <c r="E79" s="1639" t="s">
        <v>389</v>
      </c>
      <c r="F79" s="1638"/>
      <c r="G79" s="1638"/>
      <c r="H79" s="1638"/>
      <c r="I79" s="1638"/>
    </row>
    <row r="80" spans="2:19" ht="15">
      <c r="B80" s="44" t="s">
        <v>143</v>
      </c>
      <c r="C80" s="45">
        <f>C81+C82*(C83-C81)</f>
        <v>0.12</v>
      </c>
      <c r="E80" s="1638"/>
      <c r="F80" s="1638"/>
      <c r="G80" s="1638"/>
      <c r="H80" s="1638"/>
      <c r="I80" s="1638"/>
    </row>
    <row r="81" spans="2:9" ht="15">
      <c r="B81" s="44" t="s">
        <v>144</v>
      </c>
      <c r="C81" s="46">
        <v>7.0000000000000007E-2</v>
      </c>
      <c r="D81" s="4" t="s">
        <v>145</v>
      </c>
      <c r="E81" s="1638"/>
      <c r="F81" s="1638"/>
      <c r="G81" s="1638"/>
      <c r="H81" s="1638"/>
      <c r="I81" s="1638"/>
    </row>
    <row r="82" spans="2:9">
      <c r="B82" s="47" t="s">
        <v>7</v>
      </c>
      <c r="C82" s="48">
        <v>1</v>
      </c>
    </row>
    <row r="83" spans="2:9">
      <c r="B83" s="47" t="s">
        <v>146</v>
      </c>
      <c r="C83" s="49">
        <v>0.12</v>
      </c>
      <c r="D83" s="4" t="s">
        <v>147</v>
      </c>
    </row>
    <row r="84" spans="2:9">
      <c r="B84" s="47" t="s">
        <v>148</v>
      </c>
      <c r="C84" s="49">
        <v>0.35</v>
      </c>
      <c r="D84" s="4" t="s">
        <v>149</v>
      </c>
    </row>
    <row r="85" spans="2:9">
      <c r="B85" s="47" t="s">
        <v>150</v>
      </c>
      <c r="C85" s="49">
        <f>E63</f>
        <v>0.15865041503906308</v>
      </c>
      <c r="D85" s="4" t="s">
        <v>151</v>
      </c>
    </row>
    <row r="86" spans="2:9">
      <c r="B86" s="47" t="s">
        <v>152</v>
      </c>
      <c r="C86" s="49">
        <v>0</v>
      </c>
      <c r="D86" s="4" t="s">
        <v>153</v>
      </c>
      <c r="E86" s="4"/>
      <c r="F86" s="4"/>
    </row>
    <row r="87" spans="2:9" ht="13.5" thickBot="1">
      <c r="B87" s="50" t="s">
        <v>154</v>
      </c>
      <c r="C87" s="51">
        <v>1</v>
      </c>
      <c r="D87" s="4" t="s">
        <v>155</v>
      </c>
      <c r="E87" s="4"/>
      <c r="F87" s="4"/>
    </row>
  </sheetData>
  <mergeCells count="5">
    <mergeCell ref="B68:F68"/>
    <mergeCell ref="O67:S67"/>
    <mergeCell ref="J36:M42"/>
    <mergeCell ref="V35:Z42"/>
    <mergeCell ref="E79:I81"/>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6B185-B5CE-4DC4-90D9-5893623356CD}">
  <dimension ref="B26:T89"/>
  <sheetViews>
    <sheetView topLeftCell="A36" workbookViewId="0">
      <selection activeCell="E48" sqref="E48"/>
    </sheetView>
  </sheetViews>
  <sheetFormatPr defaultRowHeight="12.75"/>
  <cols>
    <col min="3" max="3" width="35.42578125" bestFit="1" customWidth="1"/>
    <col min="4" max="4" width="37.28515625" bestFit="1" customWidth="1"/>
    <col min="5" max="5" width="13.42578125" bestFit="1" customWidth="1"/>
    <col min="6" max="8" width="12.28515625" bestFit="1" customWidth="1"/>
    <col min="9" max="9" width="16.42578125" customWidth="1"/>
    <col min="10" max="10" width="13.7109375" customWidth="1"/>
    <col min="13" max="13" width="11.5703125" bestFit="1" customWidth="1"/>
    <col min="15" max="15" width="35.42578125" bestFit="1" customWidth="1"/>
    <col min="16" max="16" width="15.140625" bestFit="1" customWidth="1"/>
    <col min="17" max="18" width="12.28515625" bestFit="1" customWidth="1"/>
    <col min="19" max="19" width="12" customWidth="1"/>
    <col min="20" max="20" width="13.42578125" bestFit="1" customWidth="1"/>
    <col min="21" max="21" width="12.28515625" bestFit="1" customWidth="1"/>
    <col min="22" max="22" width="13.42578125" bestFit="1" customWidth="1"/>
  </cols>
  <sheetData>
    <row r="26" spans="3:16" ht="13.5" customHeight="1">
      <c r="O26" s="1642" t="s">
        <v>407</v>
      </c>
      <c r="P26" s="1642"/>
    </row>
    <row r="27" spans="3:16">
      <c r="O27" s="1642"/>
      <c r="P27" s="1642"/>
    </row>
    <row r="28" spans="3:16">
      <c r="O28" s="1642"/>
      <c r="P28" s="1642"/>
    </row>
    <row r="29" spans="3:16">
      <c r="M29" s="281" t="s">
        <v>390</v>
      </c>
      <c r="N29" s="281">
        <v>10</v>
      </c>
    </row>
    <row r="30" spans="3:16">
      <c r="M30" s="281" t="s">
        <v>391</v>
      </c>
      <c r="N30" s="281">
        <v>12</v>
      </c>
    </row>
    <row r="31" spans="3:16">
      <c r="C31" s="272" t="s">
        <v>365</v>
      </c>
      <c r="D31" s="25"/>
      <c r="E31" s="25">
        <v>1850</v>
      </c>
      <c r="F31" s="25">
        <v>2000</v>
      </c>
      <c r="G31" s="25">
        <v>3000</v>
      </c>
      <c r="H31" s="25"/>
      <c r="I31" s="25"/>
      <c r="M31" s="281" t="s">
        <v>392</v>
      </c>
      <c r="N31" s="281">
        <v>30</v>
      </c>
    </row>
    <row r="32" spans="3:16">
      <c r="C32" s="27" t="s">
        <v>361</v>
      </c>
      <c r="D32" s="27" t="s">
        <v>112</v>
      </c>
      <c r="E32" s="27" t="s">
        <v>113</v>
      </c>
      <c r="F32" s="27" t="s">
        <v>114</v>
      </c>
      <c r="G32" s="27" t="s">
        <v>115</v>
      </c>
      <c r="H32" s="27"/>
      <c r="I32" s="27"/>
      <c r="M32" s="281" t="s">
        <v>393</v>
      </c>
      <c r="N32" s="281">
        <v>23</v>
      </c>
    </row>
    <row r="33" spans="3:16">
      <c r="C33" s="269" t="s">
        <v>118</v>
      </c>
      <c r="D33" s="270"/>
      <c r="E33" s="270"/>
      <c r="F33" s="270"/>
      <c r="G33" s="270"/>
      <c r="H33" s="270"/>
      <c r="I33" s="270"/>
      <c r="M33" s="282" t="s">
        <v>394</v>
      </c>
      <c r="N33" s="265">
        <f>N29+N30+N31+N32</f>
        <v>75</v>
      </c>
    </row>
    <row r="34" spans="3:16">
      <c r="C34" s="25" t="s">
        <v>356</v>
      </c>
      <c r="D34" s="26"/>
      <c r="E34" s="26">
        <f>E31*100</f>
        <v>185000</v>
      </c>
      <c r="F34" s="26">
        <f>F31*110</f>
        <v>220000</v>
      </c>
      <c r="G34" s="26">
        <f>G31*120</f>
        <v>360000</v>
      </c>
      <c r="H34" s="26"/>
      <c r="I34" s="26"/>
    </row>
    <row r="35" spans="3:16">
      <c r="C35" s="25" t="s">
        <v>119</v>
      </c>
      <c r="D35" s="26"/>
      <c r="E35" s="26"/>
      <c r="F35" s="26"/>
      <c r="G35" s="26"/>
      <c r="H35" s="26"/>
      <c r="I35" s="26"/>
      <c r="M35" s="283" t="s">
        <v>401</v>
      </c>
      <c r="N35" s="283" t="s">
        <v>400</v>
      </c>
      <c r="O35" s="283" t="s">
        <v>399</v>
      </c>
      <c r="P35" s="283" t="s">
        <v>398</v>
      </c>
    </row>
    <row r="36" spans="3:16">
      <c r="C36" s="25" t="s">
        <v>332</v>
      </c>
      <c r="D36" s="26"/>
      <c r="E36" s="26"/>
      <c r="F36" s="26"/>
      <c r="G36" s="26">
        <f>D54*-1</f>
        <v>15000</v>
      </c>
      <c r="H36" s="26"/>
      <c r="I36" s="280"/>
      <c r="M36" s="283" t="s">
        <v>395</v>
      </c>
      <c r="N36" s="283">
        <v>15000</v>
      </c>
      <c r="O36" s="283" t="s">
        <v>402</v>
      </c>
      <c r="P36" s="283">
        <v>15000</v>
      </c>
    </row>
    <row r="37" spans="3:16">
      <c r="C37" s="269" t="s">
        <v>121</v>
      </c>
      <c r="D37" s="270"/>
      <c r="E37" s="270"/>
      <c r="F37" s="270"/>
      <c r="G37" s="270"/>
      <c r="H37" s="270"/>
      <c r="I37" s="270"/>
      <c r="M37" s="283" t="s">
        <v>396</v>
      </c>
      <c r="N37" s="283">
        <v>10000</v>
      </c>
      <c r="O37" s="283">
        <v>3</v>
      </c>
      <c r="P37" s="283"/>
    </row>
    <row r="38" spans="3:16">
      <c r="C38" s="25" t="s">
        <v>122</v>
      </c>
      <c r="D38" s="26"/>
      <c r="E38" s="26"/>
      <c r="F38" s="26"/>
      <c r="G38" s="26"/>
      <c r="H38" s="26"/>
      <c r="I38" s="26"/>
      <c r="M38" s="283" t="s">
        <v>397</v>
      </c>
      <c r="N38" s="283">
        <v>20000</v>
      </c>
      <c r="O38" s="283">
        <v>3</v>
      </c>
      <c r="P38" s="283"/>
    </row>
    <row r="39" spans="3:16">
      <c r="C39" s="47" t="s">
        <v>382</v>
      </c>
      <c r="D39" s="26"/>
      <c r="E39" s="26">
        <v>-36000</v>
      </c>
      <c r="F39" s="26">
        <v>-36000</v>
      </c>
      <c r="G39" s="26">
        <v>-36000</v>
      </c>
      <c r="H39" s="26"/>
      <c r="I39" s="59"/>
    </row>
    <row r="40" spans="3:16">
      <c r="C40" s="47" t="s">
        <v>186</v>
      </c>
      <c r="D40" s="26"/>
      <c r="E40" s="26"/>
      <c r="F40" s="26"/>
      <c r="G40" s="26"/>
      <c r="H40" s="26"/>
      <c r="I40" s="26"/>
    </row>
    <row r="41" spans="3:16" ht="15.75" customHeight="1">
      <c r="C41" s="287" t="s">
        <v>385</v>
      </c>
      <c r="D41" s="26"/>
      <c r="E41" s="26">
        <f>-E31*N33</f>
        <v>-138750</v>
      </c>
      <c r="F41" s="26">
        <f>-F31*N33</f>
        <v>-150000</v>
      </c>
      <c r="G41" s="26">
        <f>-G31*N33</f>
        <v>-225000</v>
      </c>
      <c r="H41" s="26"/>
      <c r="I41" s="26"/>
      <c r="L41" s="1642" t="s">
        <v>410</v>
      </c>
      <c r="M41" s="1642"/>
      <c r="N41" s="1642"/>
      <c r="O41" s="1642"/>
      <c r="P41" s="1642"/>
    </row>
    <row r="42" spans="3:16">
      <c r="C42" s="267" t="s">
        <v>125</v>
      </c>
      <c r="D42" s="268"/>
      <c r="E42" s="268"/>
      <c r="F42" s="268"/>
      <c r="G42" s="268"/>
      <c r="H42" s="268"/>
      <c r="I42" s="268"/>
      <c r="L42" s="1642"/>
      <c r="M42" s="1642"/>
      <c r="N42" s="1642"/>
      <c r="O42" s="1642"/>
      <c r="P42" s="1642"/>
    </row>
    <row r="43" spans="3:16">
      <c r="C43" s="25" t="s">
        <v>126</v>
      </c>
      <c r="D43" s="26"/>
      <c r="E43" s="26">
        <f>D55/3</f>
        <v>-3333.3333333333335</v>
      </c>
      <c r="F43" s="26">
        <f>D55/3</f>
        <v>-3333.3333333333335</v>
      </c>
      <c r="G43" s="26">
        <f>D55/3</f>
        <v>-3333.3333333333335</v>
      </c>
      <c r="H43" s="26"/>
      <c r="I43" s="26"/>
      <c r="L43" s="186" t="s">
        <v>403</v>
      </c>
    </row>
    <row r="44" spans="3:16">
      <c r="C44" s="25" t="s">
        <v>127</v>
      </c>
      <c r="D44" s="26"/>
      <c r="E44" s="26">
        <f>D56/3</f>
        <v>-6666.666666666667</v>
      </c>
      <c r="F44" s="26">
        <f>D56/3</f>
        <v>-6666.666666666667</v>
      </c>
      <c r="G44" s="26">
        <f>D56/3</f>
        <v>-6666.666666666667</v>
      </c>
      <c r="H44" s="26"/>
      <c r="I44" s="26"/>
      <c r="L44" s="186" t="s">
        <v>409</v>
      </c>
    </row>
    <row r="45" spans="3:16">
      <c r="C45" s="25" t="s">
        <v>129</v>
      </c>
      <c r="D45" s="26"/>
      <c r="E45" s="26"/>
      <c r="F45" s="26"/>
      <c r="G45" s="26"/>
      <c r="H45" s="26"/>
      <c r="I45" s="26"/>
    </row>
    <row r="46" spans="3:16">
      <c r="C46" s="25" t="s">
        <v>333</v>
      </c>
      <c r="D46" s="26"/>
      <c r="E46" s="26"/>
      <c r="F46" s="26"/>
      <c r="G46" s="26"/>
      <c r="H46" s="26"/>
      <c r="I46" s="26"/>
    </row>
    <row r="47" spans="3:16">
      <c r="C47" s="25" t="s">
        <v>334</v>
      </c>
      <c r="D47" s="26"/>
      <c r="E47" s="26"/>
      <c r="F47" s="26"/>
      <c r="G47" s="26"/>
      <c r="H47" s="26"/>
      <c r="I47" s="26"/>
      <c r="L47" s="291" t="s">
        <v>411</v>
      </c>
      <c r="M47" s="265"/>
      <c r="N47" s="265"/>
      <c r="O47" s="265"/>
    </row>
    <row r="48" spans="3:16" ht="14.25">
      <c r="C48" s="31" t="s">
        <v>130</v>
      </c>
      <c r="D48" s="32"/>
      <c r="E48" s="32">
        <f>SUM(E33:E47)</f>
        <v>249.99999999999909</v>
      </c>
      <c r="F48" s="32">
        <f>SUM(F33:F47)</f>
        <v>24000</v>
      </c>
      <c r="G48" s="32">
        <f>SUM(G33:G47)</f>
        <v>104000</v>
      </c>
      <c r="H48" s="32">
        <f>SUM(H33:H47)</f>
        <v>0</v>
      </c>
      <c r="I48" s="32"/>
      <c r="L48" s="290">
        <f>D52/E31</f>
        <v>-12.5</v>
      </c>
      <c r="M48" s="289"/>
      <c r="N48" s="289"/>
      <c r="O48" s="289"/>
    </row>
    <row r="49" spans="3:20">
      <c r="C49" s="284" t="s">
        <v>131</v>
      </c>
      <c r="D49" s="26"/>
      <c r="E49" s="26">
        <f>E48*0.1</f>
        <v>24.999999999999911</v>
      </c>
      <c r="F49" s="26">
        <f>F48*0.1</f>
        <v>2400</v>
      </c>
      <c r="G49" s="26">
        <f>G48*0.1</f>
        <v>10400</v>
      </c>
      <c r="H49" s="26">
        <f>H48*0.1</f>
        <v>0</v>
      </c>
      <c r="I49" s="26"/>
      <c r="L49" s="289"/>
      <c r="M49" s="289"/>
      <c r="N49" s="289"/>
      <c r="O49" s="289"/>
    </row>
    <row r="50" spans="3:20" ht="28.5">
      <c r="C50" s="34" t="s">
        <v>132</v>
      </c>
      <c r="D50" s="35"/>
      <c r="E50" s="35">
        <f>E48-E49</f>
        <v>224.99999999999918</v>
      </c>
      <c r="F50" s="35">
        <f>F48-F49</f>
        <v>21600</v>
      </c>
      <c r="G50" s="35">
        <f>G48-G49</f>
        <v>93600</v>
      </c>
      <c r="H50" s="35">
        <f>H48-H49</f>
        <v>0</v>
      </c>
      <c r="I50" s="35"/>
      <c r="L50" s="289"/>
      <c r="M50" s="289"/>
      <c r="N50" s="289"/>
      <c r="O50" s="289"/>
    </row>
    <row r="51" spans="3:20">
      <c r="C51" s="33" t="s">
        <v>133</v>
      </c>
      <c r="D51" s="26"/>
      <c r="E51" s="26">
        <f>-SUM(E43:E47)</f>
        <v>10000</v>
      </c>
      <c r="F51" s="26">
        <f>-SUM(F43:F47)</f>
        <v>10000</v>
      </c>
      <c r="G51" s="26">
        <f>-SUM(G43:G47)</f>
        <v>10000</v>
      </c>
      <c r="H51" s="26">
        <f>-SUM(H43:H47)</f>
        <v>0</v>
      </c>
      <c r="I51" s="26"/>
    </row>
    <row r="52" spans="3:20">
      <c r="C52" s="284" t="s">
        <v>408</v>
      </c>
      <c r="D52" s="26">
        <f>(E41/12)*2</f>
        <v>-23125</v>
      </c>
      <c r="E52" s="26">
        <f>(F31-E31)*L48</f>
        <v>-1875</v>
      </c>
      <c r="F52" s="26">
        <f>(G31-F31)*L48</f>
        <v>-12500</v>
      </c>
      <c r="G52" s="26"/>
      <c r="H52" s="26"/>
      <c r="I52" s="26"/>
    </row>
    <row r="53" spans="3:20">
      <c r="C53" s="25" t="s">
        <v>134</v>
      </c>
      <c r="D53" s="26"/>
      <c r="E53" s="26"/>
      <c r="F53" s="26"/>
      <c r="G53" s="26"/>
      <c r="H53" s="26"/>
      <c r="I53" s="26"/>
    </row>
    <row r="54" spans="3:20">
      <c r="C54" s="286" t="s">
        <v>404</v>
      </c>
      <c r="D54" s="26">
        <v>-15000</v>
      </c>
      <c r="E54" s="26"/>
      <c r="F54" s="26"/>
      <c r="G54" s="26"/>
      <c r="H54" s="26"/>
      <c r="I54" s="26"/>
    </row>
    <row r="55" spans="3:20">
      <c r="C55" s="286" t="s">
        <v>405</v>
      </c>
      <c r="D55" s="26">
        <v>-10000</v>
      </c>
      <c r="E55" s="26"/>
      <c r="F55" s="26"/>
      <c r="G55" s="26"/>
      <c r="H55" s="26"/>
      <c r="I55" s="26"/>
    </row>
    <row r="56" spans="3:20">
      <c r="C56" s="286" t="s">
        <v>406</v>
      </c>
      <c r="D56" s="26">
        <v>-20000</v>
      </c>
      <c r="E56" s="26"/>
      <c r="F56" s="26"/>
      <c r="G56" s="26"/>
      <c r="H56" s="26"/>
      <c r="I56" s="26"/>
    </row>
    <row r="57" spans="3:20">
      <c r="C57" s="286" t="s">
        <v>412</v>
      </c>
      <c r="D57" s="26"/>
      <c r="E57" s="26"/>
      <c r="F57" s="26"/>
      <c r="G57" s="26">
        <f>-D52+(-E52)+(-F52)</f>
        <v>37500</v>
      </c>
      <c r="H57" s="26"/>
      <c r="I57" s="26"/>
    </row>
    <row r="58" spans="3:20" ht="14.25">
      <c r="C58" s="37" t="s">
        <v>139</v>
      </c>
      <c r="D58" s="35">
        <f>SUM(D50:D56)</f>
        <v>-68125</v>
      </c>
      <c r="E58" s="35">
        <f>SUM(E50:E56)</f>
        <v>8350</v>
      </c>
      <c r="F58" s="35">
        <f>SUM(F50:F56)</f>
        <v>19100</v>
      </c>
      <c r="G58" s="35">
        <f>SUM(G50:G57)</f>
        <v>141100</v>
      </c>
      <c r="H58" s="35">
        <f>SUM(H50:H56)</f>
        <v>0</v>
      </c>
      <c r="I58" s="35"/>
      <c r="J58" s="288">
        <f>NPV(C80,E58:G58)+D58</f>
        <v>52011.860080795814</v>
      </c>
    </row>
    <row r="59" spans="3:20">
      <c r="C59" s="3"/>
      <c r="E59" s="5"/>
      <c r="F59" s="5"/>
      <c r="G59" s="5"/>
      <c r="H59" s="5"/>
      <c r="I59" s="5"/>
    </row>
    <row r="61" spans="3:20">
      <c r="S61" s="258"/>
      <c r="T61" s="274"/>
    </row>
    <row r="79" spans="2:3" ht="13.5" thickBot="1"/>
    <row r="80" spans="2:3" ht="14.25">
      <c r="B80" s="40" t="s">
        <v>140</v>
      </c>
      <c r="C80" s="285">
        <v>0.13</v>
      </c>
    </row>
    <row r="81" spans="2:6" ht="15">
      <c r="B81" s="42" t="s">
        <v>141</v>
      </c>
      <c r="C81" s="43" t="s">
        <v>142</v>
      </c>
    </row>
    <row r="82" spans="2:6" ht="15">
      <c r="B82" s="44" t="s">
        <v>143</v>
      </c>
      <c r="C82" s="45"/>
    </row>
    <row r="83" spans="2:6" ht="15">
      <c r="B83" s="44" t="s">
        <v>144</v>
      </c>
      <c r="C83" s="46"/>
      <c r="D83" s="4"/>
    </row>
    <row r="84" spans="2:6">
      <c r="B84" s="47" t="s">
        <v>7</v>
      </c>
      <c r="C84" s="48"/>
    </row>
    <row r="85" spans="2:6">
      <c r="B85" s="47" t="s">
        <v>146</v>
      </c>
      <c r="C85" s="49"/>
      <c r="D85" s="4"/>
    </row>
    <row r="86" spans="2:6">
      <c r="B86" s="47" t="s">
        <v>148</v>
      </c>
      <c r="C86" s="49"/>
      <c r="D86" s="4"/>
    </row>
    <row r="87" spans="2:6">
      <c r="B87" s="47" t="s">
        <v>150</v>
      </c>
      <c r="C87" s="49"/>
      <c r="D87" s="4"/>
    </row>
    <row r="88" spans="2:6">
      <c r="B88" s="47" t="s">
        <v>152</v>
      </c>
      <c r="C88" s="49"/>
      <c r="D88" s="4"/>
      <c r="E88" s="4"/>
      <c r="F88" s="4"/>
    </row>
    <row r="89" spans="2:6" ht="13.5" thickBot="1">
      <c r="B89" s="50" t="s">
        <v>154</v>
      </c>
      <c r="C89" s="51"/>
      <c r="D89" s="4"/>
      <c r="E89" s="4"/>
      <c r="F89" s="4"/>
    </row>
  </sheetData>
  <mergeCells count="2">
    <mergeCell ref="O26:P28"/>
    <mergeCell ref="L41:P42"/>
  </mergeCells>
  <pageMargins left="0.7" right="0.7" top="0.75" bottom="0.75" header="0.3" footer="0.3"/>
  <pageSetup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7234-159E-40C8-AA2E-3AE3D6EFC72A}">
  <dimension ref="B26:T89"/>
  <sheetViews>
    <sheetView topLeftCell="A59" zoomScale="115" zoomScaleNormal="115" workbookViewId="0">
      <selection activeCell="E33" sqref="E33"/>
    </sheetView>
  </sheetViews>
  <sheetFormatPr defaultRowHeight="12.75"/>
  <cols>
    <col min="3" max="3" width="35.42578125" bestFit="1" customWidth="1"/>
    <col min="4" max="4" width="37.28515625" bestFit="1" customWidth="1"/>
    <col min="5" max="5" width="13.42578125" bestFit="1" customWidth="1"/>
    <col min="6" max="8" width="12.28515625" bestFit="1" customWidth="1"/>
    <col min="9" max="9" width="16.42578125" customWidth="1"/>
    <col min="10" max="10" width="13.7109375" customWidth="1"/>
    <col min="13" max="13" width="11.5703125" bestFit="1" customWidth="1"/>
    <col min="15" max="15" width="35.42578125" bestFit="1" customWidth="1"/>
    <col min="16" max="16" width="15.140625" bestFit="1" customWidth="1"/>
    <col min="17" max="18" width="12.28515625" bestFit="1" customWidth="1"/>
    <col min="19" max="19" width="12" customWidth="1"/>
    <col min="20" max="20" width="13.42578125" bestFit="1" customWidth="1"/>
    <col min="21" max="21" width="12.28515625" bestFit="1" customWidth="1"/>
    <col min="22" max="22" width="13.42578125" bestFit="1" customWidth="1"/>
  </cols>
  <sheetData>
    <row r="26" spans="3:9" ht="13.5" customHeight="1"/>
    <row r="31" spans="3:9">
      <c r="C31" s="272" t="s">
        <v>365</v>
      </c>
      <c r="D31" s="25"/>
      <c r="E31" s="25"/>
      <c r="F31" s="25"/>
      <c r="G31" s="25"/>
      <c r="H31" s="25"/>
      <c r="I31" s="25"/>
    </row>
    <row r="32" spans="3:9">
      <c r="C32" s="27" t="s">
        <v>361</v>
      </c>
      <c r="D32" s="27" t="s">
        <v>112</v>
      </c>
      <c r="E32" s="27" t="s">
        <v>113</v>
      </c>
      <c r="F32" s="27" t="s">
        <v>114</v>
      </c>
      <c r="G32" s="27" t="s">
        <v>115</v>
      </c>
      <c r="H32" s="27"/>
      <c r="I32" s="27"/>
    </row>
    <row r="33" spans="3:9">
      <c r="C33" s="269" t="s">
        <v>118</v>
      </c>
      <c r="D33" s="270"/>
      <c r="E33" s="270"/>
      <c r="F33" s="270"/>
      <c r="G33" s="270"/>
      <c r="H33" s="270"/>
      <c r="I33" s="270"/>
    </row>
    <row r="34" spans="3:9">
      <c r="C34" s="25" t="s">
        <v>356</v>
      </c>
      <c r="D34" s="26"/>
      <c r="E34" s="26"/>
      <c r="F34" s="26"/>
      <c r="G34" s="26"/>
      <c r="H34" s="26"/>
      <c r="I34" s="26"/>
    </row>
    <row r="35" spans="3:9">
      <c r="C35" s="25" t="s">
        <v>119</v>
      </c>
      <c r="D35" s="26"/>
      <c r="E35" s="26"/>
      <c r="F35" s="26"/>
      <c r="G35" s="26"/>
      <c r="H35" s="26"/>
      <c r="I35" s="26"/>
    </row>
    <row r="36" spans="3:9">
      <c r="C36" s="25" t="s">
        <v>332</v>
      </c>
      <c r="D36" s="26"/>
      <c r="E36" s="26"/>
      <c r="F36" s="26"/>
      <c r="G36" s="26"/>
      <c r="H36" s="26"/>
      <c r="I36" s="280"/>
    </row>
    <row r="37" spans="3:9">
      <c r="C37" s="269" t="s">
        <v>121</v>
      </c>
      <c r="D37" s="270"/>
      <c r="E37" s="270"/>
      <c r="F37" s="270"/>
      <c r="G37" s="270"/>
      <c r="H37" s="270"/>
      <c r="I37" s="270"/>
    </row>
    <row r="38" spans="3:9">
      <c r="C38" s="25" t="s">
        <v>122</v>
      </c>
      <c r="D38" s="26"/>
      <c r="E38" s="26"/>
      <c r="F38" s="26"/>
      <c r="G38" s="26"/>
      <c r="H38" s="26"/>
      <c r="I38" s="26"/>
    </row>
    <row r="39" spans="3:9">
      <c r="C39" s="47" t="s">
        <v>382</v>
      </c>
      <c r="D39" s="26"/>
      <c r="E39" s="26"/>
      <c r="F39" s="26"/>
      <c r="G39" s="26"/>
      <c r="H39" s="26"/>
      <c r="I39" s="59"/>
    </row>
    <row r="40" spans="3:9">
      <c r="C40" s="47" t="s">
        <v>186</v>
      </c>
      <c r="D40" s="26"/>
      <c r="E40" s="26"/>
      <c r="F40" s="26"/>
      <c r="G40" s="26"/>
      <c r="H40" s="26"/>
      <c r="I40" s="26"/>
    </row>
    <row r="41" spans="3:9" ht="15.75" customHeight="1">
      <c r="C41" s="287" t="s">
        <v>385</v>
      </c>
      <c r="D41" s="26"/>
      <c r="E41" s="26"/>
      <c r="F41" s="26"/>
      <c r="G41" s="26"/>
      <c r="H41" s="26"/>
      <c r="I41" s="26"/>
    </row>
    <row r="42" spans="3:9">
      <c r="C42" s="267" t="s">
        <v>125</v>
      </c>
      <c r="D42" s="268"/>
      <c r="E42" s="268"/>
      <c r="F42" s="268"/>
      <c r="G42" s="268"/>
      <c r="H42" s="268"/>
      <c r="I42" s="268"/>
    </row>
    <row r="43" spans="3:9">
      <c r="C43" s="25" t="s">
        <v>126</v>
      </c>
      <c r="D43" s="26"/>
      <c r="E43" s="26"/>
      <c r="F43" s="26"/>
      <c r="G43" s="26"/>
      <c r="H43" s="26"/>
      <c r="I43" s="26"/>
    </row>
    <row r="44" spans="3:9">
      <c r="C44" s="25" t="s">
        <v>127</v>
      </c>
      <c r="D44" s="26"/>
      <c r="E44" s="26"/>
      <c r="F44" s="26"/>
      <c r="G44" s="26"/>
      <c r="H44" s="26"/>
      <c r="I44" s="26"/>
    </row>
    <row r="45" spans="3:9">
      <c r="C45" s="25" t="s">
        <v>129</v>
      </c>
      <c r="D45" s="26"/>
      <c r="E45" s="26"/>
      <c r="F45" s="26"/>
      <c r="G45" s="26"/>
      <c r="H45" s="26"/>
      <c r="I45" s="26"/>
    </row>
    <row r="46" spans="3:9">
      <c r="C46" s="25" t="s">
        <v>333</v>
      </c>
      <c r="D46" s="26"/>
      <c r="E46" s="26"/>
      <c r="F46" s="26"/>
      <c r="G46" s="26"/>
      <c r="H46" s="26"/>
      <c r="I46" s="26"/>
    </row>
    <row r="47" spans="3:9">
      <c r="C47" s="25" t="s">
        <v>334</v>
      </c>
      <c r="D47" s="26"/>
      <c r="E47" s="26"/>
      <c r="F47" s="26"/>
      <c r="G47" s="26"/>
      <c r="H47" s="26"/>
      <c r="I47" s="26"/>
    </row>
    <row r="48" spans="3:9" ht="14.25">
      <c r="C48" s="31" t="s">
        <v>130</v>
      </c>
      <c r="D48" s="32"/>
      <c r="E48" s="32"/>
      <c r="F48" s="32"/>
      <c r="G48" s="32"/>
      <c r="H48" s="32"/>
      <c r="I48" s="32"/>
    </row>
    <row r="49" spans="3:20">
      <c r="C49" s="284" t="s">
        <v>131</v>
      </c>
      <c r="D49" s="26"/>
      <c r="E49" s="26"/>
      <c r="F49" s="26"/>
      <c r="G49" s="26"/>
      <c r="H49" s="26"/>
      <c r="I49" s="26"/>
    </row>
    <row r="50" spans="3:20" ht="28.5">
      <c r="C50" s="34" t="s">
        <v>132</v>
      </c>
      <c r="D50" s="35"/>
      <c r="E50" s="35"/>
      <c r="F50" s="35"/>
      <c r="G50" s="35"/>
      <c r="H50" s="35"/>
      <c r="I50" s="35"/>
    </row>
    <row r="51" spans="3:20">
      <c r="C51" s="33" t="s">
        <v>133</v>
      </c>
      <c r="D51" s="26"/>
      <c r="E51" s="26"/>
      <c r="F51" s="26"/>
      <c r="G51" s="26"/>
      <c r="H51" s="26"/>
      <c r="I51" s="26"/>
    </row>
    <row r="52" spans="3:20">
      <c r="C52" s="284" t="s">
        <v>408</v>
      </c>
      <c r="D52" s="26"/>
      <c r="E52" s="26"/>
      <c r="F52" s="26"/>
      <c r="G52" s="26"/>
      <c r="H52" s="26"/>
      <c r="I52" s="26"/>
    </row>
    <row r="53" spans="3:20">
      <c r="C53" s="25" t="s">
        <v>134</v>
      </c>
      <c r="D53" s="26"/>
      <c r="E53" s="26"/>
      <c r="F53" s="26"/>
      <c r="G53" s="26"/>
      <c r="H53" s="26"/>
      <c r="I53" s="26"/>
    </row>
    <row r="54" spans="3:20">
      <c r="C54" s="286" t="s">
        <v>404</v>
      </c>
      <c r="D54" s="26"/>
      <c r="E54" s="26"/>
      <c r="F54" s="26"/>
      <c r="G54" s="26"/>
      <c r="H54" s="26"/>
      <c r="I54" s="26"/>
    </row>
    <row r="55" spans="3:20">
      <c r="C55" s="286" t="s">
        <v>405</v>
      </c>
      <c r="D55" s="26"/>
      <c r="E55" s="26"/>
      <c r="F55" s="26"/>
      <c r="G55" s="26"/>
      <c r="H55" s="26"/>
      <c r="I55" s="26"/>
    </row>
    <row r="56" spans="3:20">
      <c r="C56" s="286" t="s">
        <v>406</v>
      </c>
      <c r="D56" s="26"/>
      <c r="E56" s="26"/>
      <c r="F56" s="26"/>
      <c r="G56" s="26"/>
      <c r="H56" s="26"/>
      <c r="I56" s="26"/>
    </row>
    <row r="57" spans="3:20">
      <c r="C57" s="286" t="s">
        <v>412</v>
      </c>
      <c r="D57" s="26"/>
      <c r="E57" s="26"/>
      <c r="F57" s="26"/>
      <c r="G57" s="26"/>
      <c r="H57" s="26"/>
      <c r="I57" s="26"/>
    </row>
    <row r="58" spans="3:20" ht="14.25">
      <c r="C58" s="37" t="s">
        <v>139</v>
      </c>
      <c r="D58" s="35"/>
      <c r="E58" s="35"/>
      <c r="F58" s="35"/>
      <c r="G58" s="35"/>
      <c r="H58" s="35"/>
      <c r="I58" s="35"/>
      <c r="J58" s="288"/>
    </row>
    <row r="59" spans="3:20">
      <c r="C59" s="3"/>
      <c r="E59" s="5"/>
      <c r="F59" s="5"/>
      <c r="G59" s="5"/>
      <c r="H59" s="5"/>
      <c r="I59" s="5"/>
    </row>
    <row r="61" spans="3:20">
      <c r="S61" s="258"/>
      <c r="T61" s="274"/>
    </row>
    <row r="79" spans="2:3" ht="13.5" thickBot="1"/>
    <row r="80" spans="2:3" ht="14.25">
      <c r="B80" s="40" t="s">
        <v>140</v>
      </c>
      <c r="C80" s="285">
        <v>0.13</v>
      </c>
    </row>
    <row r="81" spans="2:6" ht="15">
      <c r="B81" s="42" t="s">
        <v>141</v>
      </c>
      <c r="C81" s="43" t="s">
        <v>142</v>
      </c>
    </row>
    <row r="82" spans="2:6" ht="15">
      <c r="B82" s="44" t="s">
        <v>143</v>
      </c>
      <c r="C82" s="45"/>
    </row>
    <row r="83" spans="2:6" ht="15">
      <c r="B83" s="44" t="s">
        <v>144</v>
      </c>
      <c r="C83" s="46"/>
      <c r="D83" s="4"/>
    </row>
    <row r="84" spans="2:6">
      <c r="B84" s="47" t="s">
        <v>7</v>
      </c>
      <c r="C84" s="48"/>
    </row>
    <row r="85" spans="2:6">
      <c r="B85" s="47" t="s">
        <v>146</v>
      </c>
      <c r="C85" s="49"/>
      <c r="D85" s="4"/>
    </row>
    <row r="86" spans="2:6">
      <c r="B86" s="47" t="s">
        <v>148</v>
      </c>
      <c r="C86" s="49"/>
      <c r="D86" s="4"/>
    </row>
    <row r="87" spans="2:6">
      <c r="B87" s="47" t="s">
        <v>150</v>
      </c>
      <c r="C87" s="49"/>
      <c r="D87" s="4"/>
    </row>
    <row r="88" spans="2:6">
      <c r="B88" s="47" t="s">
        <v>152</v>
      </c>
      <c r="C88" s="49"/>
      <c r="D88" s="4"/>
      <c r="E88" s="4"/>
      <c r="F88" s="4"/>
    </row>
    <row r="89" spans="2:6" ht="13.5" thickBot="1">
      <c r="B89" s="50" t="s">
        <v>154</v>
      </c>
      <c r="C89" s="51"/>
      <c r="D89" s="4"/>
      <c r="E89" s="4"/>
      <c r="F89" s="4"/>
    </row>
  </sheetData>
  <pageMargins left="0.7" right="0.7" top="0.75" bottom="0.75" header="0.3" footer="0.3"/>
  <pageSetup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4B001-AAD4-4031-BA01-5AD173C2CAD4}">
  <dimension ref="B16:V89"/>
  <sheetViews>
    <sheetView topLeftCell="D50" workbookViewId="0">
      <selection activeCell="I55" sqref="I55"/>
    </sheetView>
  </sheetViews>
  <sheetFormatPr defaultRowHeight="12.75"/>
  <cols>
    <col min="3" max="3" width="35.42578125" bestFit="1" customWidth="1"/>
    <col min="4" max="4" width="37.28515625" bestFit="1" customWidth="1"/>
    <col min="5" max="5" width="13.42578125" bestFit="1" customWidth="1"/>
    <col min="6" max="6" width="12.28515625" bestFit="1" customWidth="1"/>
    <col min="7" max="7" width="18.85546875" customWidth="1"/>
    <col min="8" max="8" width="18.5703125" customWidth="1"/>
    <col min="9" max="9" width="16.42578125" customWidth="1"/>
    <col min="10" max="10" width="13.7109375" customWidth="1"/>
    <col min="13" max="13" width="11.5703125" bestFit="1" customWidth="1"/>
    <col min="15" max="15" width="35.42578125" bestFit="1" customWidth="1"/>
    <col min="16" max="16" width="15.140625" bestFit="1" customWidth="1"/>
    <col min="17" max="18" width="12.28515625" bestFit="1" customWidth="1"/>
    <col min="19" max="19" width="12" customWidth="1"/>
    <col min="20" max="20" width="13.42578125" bestFit="1" customWidth="1"/>
    <col min="21" max="21" width="12.28515625" bestFit="1" customWidth="1"/>
    <col min="22" max="22" width="13.42578125" bestFit="1" customWidth="1"/>
  </cols>
  <sheetData>
    <row r="16" spans="9:11">
      <c r="I16" t="s">
        <v>417</v>
      </c>
      <c r="J16">
        <v>1000</v>
      </c>
      <c r="K16">
        <v>1500</v>
      </c>
    </row>
    <row r="17" spans="3:21">
      <c r="I17" t="s">
        <v>418</v>
      </c>
    </row>
    <row r="19" spans="3:21">
      <c r="I19" t="s">
        <v>419</v>
      </c>
    </row>
    <row r="26" spans="3:21" ht="13.5" customHeight="1"/>
    <row r="31" spans="3:21">
      <c r="C31" s="272" t="s">
        <v>365</v>
      </c>
      <c r="D31" s="25"/>
      <c r="E31" s="25">
        <v>1000</v>
      </c>
      <c r="F31" s="25">
        <v>1000</v>
      </c>
      <c r="G31" s="25">
        <v>1000</v>
      </c>
      <c r="H31" s="25">
        <v>1000</v>
      </c>
      <c r="I31" s="25">
        <v>1000</v>
      </c>
      <c r="O31" s="272" t="s">
        <v>365</v>
      </c>
      <c r="P31" s="25"/>
      <c r="Q31" s="25">
        <v>1200</v>
      </c>
      <c r="R31" s="25">
        <v>1400</v>
      </c>
      <c r="S31" s="25">
        <v>1600</v>
      </c>
      <c r="T31" s="25">
        <v>1800</v>
      </c>
      <c r="U31" s="25">
        <v>2000</v>
      </c>
    </row>
    <row r="32" spans="3:21">
      <c r="C32" s="27" t="s">
        <v>361</v>
      </c>
      <c r="D32" s="27" t="s">
        <v>112</v>
      </c>
      <c r="E32" s="27" t="s">
        <v>113</v>
      </c>
      <c r="F32" s="27" t="s">
        <v>114</v>
      </c>
      <c r="G32" s="27" t="s">
        <v>115</v>
      </c>
      <c r="H32" s="27" t="s">
        <v>116</v>
      </c>
      <c r="I32" s="27" t="s">
        <v>117</v>
      </c>
      <c r="O32" s="27" t="s">
        <v>361</v>
      </c>
      <c r="P32" s="27" t="s">
        <v>112</v>
      </c>
      <c r="Q32" s="27" t="s">
        <v>113</v>
      </c>
      <c r="R32" s="27" t="s">
        <v>114</v>
      </c>
      <c r="S32" s="27" t="s">
        <v>115</v>
      </c>
      <c r="T32" s="27" t="s">
        <v>116</v>
      </c>
      <c r="U32" s="27" t="s">
        <v>117</v>
      </c>
    </row>
    <row r="33" spans="3:21">
      <c r="C33" s="269" t="s">
        <v>118</v>
      </c>
      <c r="D33" s="270"/>
      <c r="E33" s="270"/>
      <c r="F33" s="270"/>
      <c r="G33" s="270"/>
      <c r="H33" s="270"/>
      <c r="I33" s="270"/>
      <c r="O33" s="269" t="s">
        <v>118</v>
      </c>
      <c r="P33" s="270"/>
      <c r="Q33" s="270"/>
      <c r="R33" s="270"/>
      <c r="S33" s="270"/>
      <c r="T33" s="270"/>
      <c r="U33" s="270"/>
    </row>
    <row r="34" spans="3:21">
      <c r="C34" s="25" t="s">
        <v>356</v>
      </c>
      <c r="D34" s="26"/>
      <c r="E34" s="26">
        <f>E31*20</f>
        <v>20000</v>
      </c>
      <c r="F34" s="26">
        <f>F31*20</f>
        <v>20000</v>
      </c>
      <c r="G34" s="26">
        <f>G31*20</f>
        <v>20000</v>
      </c>
      <c r="H34" s="26">
        <f>H31*20</f>
        <v>20000</v>
      </c>
      <c r="I34" s="26">
        <f>I31*20</f>
        <v>20000</v>
      </c>
      <c r="O34" s="25" t="s">
        <v>356</v>
      </c>
      <c r="P34" s="26"/>
      <c r="Q34" s="26">
        <f>Q31*20</f>
        <v>24000</v>
      </c>
      <c r="R34" s="26">
        <f>R31*20</f>
        <v>28000</v>
      </c>
      <c r="S34" s="26">
        <f>S31*20</f>
        <v>32000</v>
      </c>
      <c r="T34" s="26">
        <f>T31*20</f>
        <v>36000</v>
      </c>
      <c r="U34" s="26">
        <f>U31*20</f>
        <v>40000</v>
      </c>
    </row>
    <row r="35" spans="3:21">
      <c r="C35" s="25" t="s">
        <v>119</v>
      </c>
      <c r="D35" s="26"/>
      <c r="E35" s="26"/>
      <c r="F35" s="26"/>
      <c r="G35" s="26"/>
      <c r="H35" s="26"/>
      <c r="I35" s="26"/>
      <c r="O35" s="25" t="s">
        <v>119</v>
      </c>
      <c r="P35" s="26"/>
      <c r="Q35" s="26"/>
      <c r="R35" s="26"/>
      <c r="S35" s="26"/>
      <c r="T35" s="26"/>
      <c r="U35" s="26"/>
    </row>
    <row r="36" spans="3:21">
      <c r="C36" s="25" t="s">
        <v>332</v>
      </c>
      <c r="D36" s="26"/>
      <c r="E36" s="26"/>
      <c r="F36" s="26"/>
      <c r="G36" s="26"/>
      <c r="H36" s="26"/>
      <c r="I36" s="280">
        <v>0</v>
      </c>
      <c r="O36" s="25" t="s">
        <v>332</v>
      </c>
      <c r="P36" s="26">
        <v>3000</v>
      </c>
      <c r="Q36" s="26"/>
      <c r="R36" s="26"/>
      <c r="S36" s="26"/>
      <c r="T36" s="26"/>
      <c r="U36" s="280">
        <v>1500</v>
      </c>
    </row>
    <row r="37" spans="3:21">
      <c r="C37" s="269" t="s">
        <v>121</v>
      </c>
      <c r="D37" s="270"/>
      <c r="E37" s="270"/>
      <c r="F37" s="270"/>
      <c r="G37" s="270"/>
      <c r="H37" s="270"/>
      <c r="I37" s="270"/>
      <c r="O37" s="269" t="s">
        <v>121</v>
      </c>
      <c r="P37" s="270"/>
      <c r="Q37" s="270"/>
      <c r="R37" s="270"/>
      <c r="S37" s="270"/>
      <c r="T37" s="270"/>
      <c r="U37" s="270"/>
    </row>
    <row r="38" spans="3:21">
      <c r="C38" s="25" t="s">
        <v>122</v>
      </c>
      <c r="D38" s="26"/>
      <c r="E38" s="26"/>
      <c r="F38" s="26"/>
      <c r="G38" s="26"/>
      <c r="H38" s="26"/>
      <c r="I38" s="26"/>
      <c r="O38" s="25" t="s">
        <v>122</v>
      </c>
      <c r="P38" s="26"/>
      <c r="Q38" s="26"/>
      <c r="R38" s="26"/>
      <c r="S38" s="26"/>
      <c r="T38" s="26"/>
      <c r="U38" s="26"/>
    </row>
    <row r="39" spans="3:21">
      <c r="C39" s="47" t="s">
        <v>382</v>
      </c>
      <c r="D39" s="26"/>
      <c r="E39" s="26">
        <v>-10000</v>
      </c>
      <c r="F39" s="26">
        <v>-10000</v>
      </c>
      <c r="G39" s="26">
        <v>-10000</v>
      </c>
      <c r="H39" s="26">
        <v>-10000</v>
      </c>
      <c r="I39" s="26">
        <v>-10000</v>
      </c>
      <c r="O39" s="47" t="s">
        <v>382</v>
      </c>
      <c r="P39" s="26"/>
      <c r="Q39" s="26">
        <f>-10000*1.2</f>
        <v>-12000</v>
      </c>
      <c r="R39" s="26">
        <f>-10000*1.2</f>
        <v>-12000</v>
      </c>
      <c r="S39" s="26">
        <f>-10000*1.2</f>
        <v>-12000</v>
      </c>
      <c r="T39" s="26">
        <f>-10000*1.2</f>
        <v>-12000</v>
      </c>
      <c r="U39" s="26">
        <f>-10000*1.2</f>
        <v>-12000</v>
      </c>
    </row>
    <row r="40" spans="3:21">
      <c r="C40" s="47" t="s">
        <v>186</v>
      </c>
      <c r="D40" s="26"/>
      <c r="E40" s="26"/>
      <c r="F40" s="26"/>
      <c r="G40" s="26"/>
      <c r="H40" s="26"/>
      <c r="I40" s="26"/>
      <c r="O40" s="47" t="s">
        <v>420</v>
      </c>
      <c r="P40" s="26"/>
      <c r="Q40" s="26"/>
      <c r="R40" s="26"/>
      <c r="S40" s="26"/>
      <c r="T40" s="26"/>
      <c r="U40" s="26">
        <v>-1000</v>
      </c>
    </row>
    <row r="41" spans="3:21" ht="15.75" customHeight="1">
      <c r="C41" s="287" t="s">
        <v>385</v>
      </c>
      <c r="D41" s="26"/>
      <c r="E41" s="26">
        <f>-E31*12</f>
        <v>-12000</v>
      </c>
      <c r="F41" s="26">
        <f>-F31*12</f>
        <v>-12000</v>
      </c>
      <c r="G41" s="26">
        <f>-G31*12</f>
        <v>-12000</v>
      </c>
      <c r="H41" s="26">
        <f>-H31*12</f>
        <v>-12000</v>
      </c>
      <c r="I41" s="26">
        <f>-I31*12</f>
        <v>-12000</v>
      </c>
      <c r="O41" s="287" t="s">
        <v>385</v>
      </c>
      <c r="P41" s="26"/>
      <c r="Q41" s="26">
        <f>Q31*-12</f>
        <v>-14400</v>
      </c>
      <c r="R41" s="26">
        <f>R31*-12</f>
        <v>-16800</v>
      </c>
      <c r="S41" s="26">
        <f>S31*-12</f>
        <v>-19200</v>
      </c>
      <c r="T41" s="26">
        <f>T31*-12</f>
        <v>-21600</v>
      </c>
      <c r="U41" s="26">
        <f>U31*-12</f>
        <v>-24000</v>
      </c>
    </row>
    <row r="42" spans="3:21">
      <c r="C42" s="267" t="s">
        <v>125</v>
      </c>
      <c r="D42" s="268"/>
      <c r="E42" s="268"/>
      <c r="F42" s="268"/>
      <c r="G42" s="268"/>
      <c r="H42" s="268"/>
      <c r="I42" s="268"/>
      <c r="O42" s="267" t="s">
        <v>125</v>
      </c>
      <c r="P42" s="268"/>
      <c r="Q42" s="268"/>
      <c r="R42" s="268"/>
      <c r="S42" s="268"/>
      <c r="T42" s="268"/>
      <c r="U42" s="268"/>
    </row>
    <row r="43" spans="3:21">
      <c r="C43" s="25" t="s">
        <v>126</v>
      </c>
      <c r="D43" s="26"/>
      <c r="E43" s="26">
        <v>-1000</v>
      </c>
      <c r="F43" s="26">
        <v>-1000</v>
      </c>
      <c r="G43" s="26"/>
      <c r="H43" s="26"/>
      <c r="I43" s="26"/>
      <c r="O43" s="25" t="s">
        <v>126</v>
      </c>
      <c r="P43" s="26"/>
      <c r="Q43" s="26">
        <f>P55/5</f>
        <v>-2400</v>
      </c>
      <c r="R43" s="26">
        <f>P55/5</f>
        <v>-2400</v>
      </c>
      <c r="S43" s="26">
        <f>P55/5</f>
        <v>-2400</v>
      </c>
      <c r="T43" s="26">
        <f>P55/5</f>
        <v>-2400</v>
      </c>
      <c r="U43" s="26">
        <f>P55/5</f>
        <v>-2400</v>
      </c>
    </row>
    <row r="44" spans="3:21">
      <c r="C44" s="25" t="s">
        <v>127</v>
      </c>
      <c r="D44" s="26"/>
      <c r="E44" s="26"/>
      <c r="F44" s="26"/>
      <c r="G44" s="26"/>
      <c r="H44" s="26"/>
      <c r="I44" s="26"/>
      <c r="O44" s="25" t="s">
        <v>127</v>
      </c>
      <c r="P44" s="26"/>
      <c r="Q44" s="26">
        <f>P56/3</f>
        <v>0</v>
      </c>
      <c r="R44" s="26">
        <f>P56/3</f>
        <v>0</v>
      </c>
      <c r="S44" s="26">
        <f>P56/3</f>
        <v>0</v>
      </c>
      <c r="T44" s="26"/>
      <c r="U44" s="26"/>
    </row>
    <row r="45" spans="3:21">
      <c r="C45" s="25" t="s">
        <v>129</v>
      </c>
      <c r="D45" s="26"/>
      <c r="E45" s="26"/>
      <c r="F45" s="26"/>
      <c r="G45" s="26"/>
      <c r="H45" s="26"/>
      <c r="I45" s="26"/>
      <c r="O45" s="25" t="s">
        <v>129</v>
      </c>
      <c r="P45" s="26"/>
      <c r="Q45" s="26"/>
      <c r="R45" s="26"/>
      <c r="S45" s="26"/>
      <c r="T45" s="26"/>
      <c r="U45" s="26"/>
    </row>
    <row r="46" spans="3:21">
      <c r="C46" s="25" t="s">
        <v>333</v>
      </c>
      <c r="D46" s="26"/>
      <c r="E46" s="26"/>
      <c r="F46" s="26"/>
      <c r="G46" s="26"/>
      <c r="H46" s="26"/>
      <c r="I46" s="26"/>
      <c r="O46" s="25" t="s">
        <v>333</v>
      </c>
      <c r="P46" s="26">
        <v>-2000</v>
      </c>
      <c r="Q46" s="26"/>
      <c r="R46" s="26"/>
      <c r="S46" s="26"/>
      <c r="T46" s="26"/>
      <c r="U46" s="26"/>
    </row>
    <row r="47" spans="3:21">
      <c r="C47" s="25" t="s">
        <v>334</v>
      </c>
      <c r="D47" s="26"/>
      <c r="E47" s="26"/>
      <c r="F47" s="26"/>
      <c r="G47" s="26"/>
      <c r="H47" s="26"/>
      <c r="I47" s="26"/>
      <c r="O47" s="25" t="s">
        <v>334</v>
      </c>
      <c r="P47" s="26"/>
      <c r="Q47" s="26"/>
      <c r="R47" s="26"/>
      <c r="S47" s="26"/>
      <c r="T47" s="26"/>
      <c r="U47" s="26"/>
    </row>
    <row r="48" spans="3:21" ht="14.25">
      <c r="C48" s="31" t="s">
        <v>130</v>
      </c>
      <c r="D48" s="32"/>
      <c r="E48" s="32">
        <f>SUM(E33:E47)</f>
        <v>-3000</v>
      </c>
      <c r="F48" s="32">
        <f>SUM(F33:F47)</f>
        <v>-3000</v>
      </c>
      <c r="G48" s="32">
        <f>SUM(G33:G47)</f>
        <v>-2000</v>
      </c>
      <c r="H48" s="32">
        <f>SUM(H33:H47)</f>
        <v>-2000</v>
      </c>
      <c r="I48" s="32">
        <f>SUM(I33:I47)</f>
        <v>-2000</v>
      </c>
      <c r="O48" s="31" t="s">
        <v>130</v>
      </c>
      <c r="P48" s="32">
        <f t="shared" ref="P48:U48" si="0">SUM(P34:P47)</f>
        <v>1000</v>
      </c>
      <c r="Q48" s="32">
        <f t="shared" si="0"/>
        <v>-4800</v>
      </c>
      <c r="R48" s="32">
        <f t="shared" si="0"/>
        <v>-3200</v>
      </c>
      <c r="S48" s="32">
        <f t="shared" si="0"/>
        <v>-1600</v>
      </c>
      <c r="T48" s="32">
        <f t="shared" si="0"/>
        <v>0</v>
      </c>
      <c r="U48" s="32">
        <f t="shared" si="0"/>
        <v>2100</v>
      </c>
    </row>
    <row r="49" spans="3:22">
      <c r="C49" s="284" t="s">
        <v>131</v>
      </c>
      <c r="D49" s="26"/>
      <c r="E49" s="26">
        <f>E48*0.3</f>
        <v>-900</v>
      </c>
      <c r="F49" s="26">
        <f>F48*0.3</f>
        <v>-900</v>
      </c>
      <c r="G49" s="26">
        <f>G48*0.3</f>
        <v>-600</v>
      </c>
      <c r="H49" s="26">
        <f>H48*0.3</f>
        <v>-600</v>
      </c>
      <c r="I49" s="26">
        <f>I48*0.3</f>
        <v>-600</v>
      </c>
      <c r="O49" s="33" t="s">
        <v>416</v>
      </c>
      <c r="P49" s="26">
        <f t="shared" ref="P49:U49" si="1">P48*0.3</f>
        <v>300</v>
      </c>
      <c r="Q49" s="26">
        <f t="shared" si="1"/>
        <v>-1440</v>
      </c>
      <c r="R49" s="26">
        <f t="shared" si="1"/>
        <v>-960</v>
      </c>
      <c r="S49" s="26">
        <f t="shared" si="1"/>
        <v>-480</v>
      </c>
      <c r="T49" s="26">
        <f t="shared" si="1"/>
        <v>0</v>
      </c>
      <c r="U49" s="26">
        <f t="shared" si="1"/>
        <v>630</v>
      </c>
    </row>
    <row r="50" spans="3:22" ht="28.5">
      <c r="C50" s="34" t="s">
        <v>132</v>
      </c>
      <c r="D50" s="35"/>
      <c r="E50" s="35">
        <f>E48-E49</f>
        <v>-2100</v>
      </c>
      <c r="F50" s="35">
        <f>F48-F49</f>
        <v>-2100</v>
      </c>
      <c r="G50" s="35">
        <f>G48-G49</f>
        <v>-1400</v>
      </c>
      <c r="H50" s="35">
        <f>H48-H49</f>
        <v>-1400</v>
      </c>
      <c r="I50" s="35">
        <f>I48-I49</f>
        <v>-1400</v>
      </c>
      <c r="O50" s="34" t="s">
        <v>132</v>
      </c>
      <c r="P50" s="35">
        <f t="shared" ref="P50:U50" si="2">P48-P49</f>
        <v>700</v>
      </c>
      <c r="Q50" s="35">
        <f t="shared" si="2"/>
        <v>-3360</v>
      </c>
      <c r="R50" s="35">
        <f t="shared" si="2"/>
        <v>-2240</v>
      </c>
      <c r="S50" s="35">
        <f t="shared" si="2"/>
        <v>-1120</v>
      </c>
      <c r="T50" s="35">
        <f t="shared" si="2"/>
        <v>0</v>
      </c>
      <c r="U50" s="35">
        <f t="shared" si="2"/>
        <v>1470</v>
      </c>
    </row>
    <row r="51" spans="3:22">
      <c r="C51" s="33" t="s">
        <v>133</v>
      </c>
      <c r="D51" s="26"/>
      <c r="E51" s="26">
        <f>-SUM(E43:E47)</f>
        <v>1000</v>
      </c>
      <c r="F51" s="26">
        <f>-SUM(F43:F47)</f>
        <v>1000</v>
      </c>
      <c r="G51" s="26">
        <f>-SUM(G43:G47)</f>
        <v>0</v>
      </c>
      <c r="H51" s="26">
        <f>-SUM(H43:H47)</f>
        <v>0</v>
      </c>
      <c r="I51" s="26"/>
      <c r="O51" s="33" t="s">
        <v>133</v>
      </c>
      <c r="P51" s="26">
        <f t="shared" ref="P51:U51" si="3">-SUM(P43:P47)</f>
        <v>2000</v>
      </c>
      <c r="Q51" s="26">
        <f t="shared" si="3"/>
        <v>2400</v>
      </c>
      <c r="R51" s="26">
        <f t="shared" si="3"/>
        <v>2400</v>
      </c>
      <c r="S51" s="26">
        <f t="shared" si="3"/>
        <v>2400</v>
      </c>
      <c r="T51" s="26">
        <f t="shared" si="3"/>
        <v>2400</v>
      </c>
      <c r="U51" s="26">
        <f t="shared" si="3"/>
        <v>2400</v>
      </c>
    </row>
    <row r="52" spans="3:22">
      <c r="C52" s="284" t="s">
        <v>408</v>
      </c>
      <c r="D52" s="26">
        <v>-1000</v>
      </c>
      <c r="E52" s="26"/>
      <c r="F52" s="26"/>
      <c r="G52" s="26"/>
      <c r="H52" s="26"/>
      <c r="I52" s="26"/>
      <c r="O52" s="284" t="s">
        <v>408</v>
      </c>
      <c r="P52" s="26">
        <v>-1500</v>
      </c>
      <c r="Q52" s="26">
        <v>-250</v>
      </c>
      <c r="R52" s="26">
        <v>250</v>
      </c>
      <c r="S52" s="26">
        <v>250</v>
      </c>
      <c r="T52" s="26">
        <v>250</v>
      </c>
    </row>
    <row r="53" spans="3:22">
      <c r="C53" s="25" t="s">
        <v>134</v>
      </c>
      <c r="D53" s="26"/>
      <c r="E53" s="26"/>
      <c r="F53" s="26"/>
      <c r="G53" s="26"/>
      <c r="H53" s="26"/>
      <c r="I53" s="26"/>
      <c r="O53" s="25" t="s">
        <v>134</v>
      </c>
      <c r="Q53" s="26"/>
      <c r="R53" s="26"/>
      <c r="S53" s="26"/>
      <c r="T53" s="26"/>
      <c r="U53" s="26"/>
    </row>
    <row r="54" spans="3:22">
      <c r="C54" s="286" t="s">
        <v>404</v>
      </c>
      <c r="D54" s="26"/>
      <c r="E54" s="26"/>
      <c r="F54" s="26"/>
      <c r="G54" s="26"/>
      <c r="H54" s="26"/>
      <c r="I54" s="26"/>
      <c r="O54" s="286" t="s">
        <v>404</v>
      </c>
      <c r="Q54" s="26"/>
      <c r="R54" s="26"/>
      <c r="S54" s="26"/>
      <c r="T54" s="26"/>
      <c r="U54" s="26"/>
    </row>
    <row r="55" spans="3:22">
      <c r="C55" s="286" t="s">
        <v>405</v>
      </c>
      <c r="D55" s="26"/>
      <c r="E55" s="26"/>
      <c r="F55" s="26"/>
      <c r="G55" s="26"/>
      <c r="H55" s="26"/>
      <c r="I55" s="26"/>
      <c r="O55" s="286" t="s">
        <v>405</v>
      </c>
      <c r="P55" s="26">
        <v>-12000</v>
      </c>
      <c r="U55" s="26"/>
    </row>
    <row r="56" spans="3:22">
      <c r="C56" s="286" t="s">
        <v>406</v>
      </c>
      <c r="D56" s="26"/>
      <c r="E56" s="26"/>
      <c r="F56" s="26"/>
      <c r="G56" s="26"/>
      <c r="I56" s="26">
        <f>D52*-1</f>
        <v>1000</v>
      </c>
      <c r="O56" s="286" t="s">
        <v>406</v>
      </c>
      <c r="P56" s="26"/>
      <c r="Q56" s="26"/>
      <c r="R56" s="26"/>
      <c r="S56" s="26"/>
      <c r="T56" s="26"/>
      <c r="U56" s="26"/>
    </row>
    <row r="57" spans="3:22">
      <c r="C57" s="286" t="s">
        <v>412</v>
      </c>
      <c r="D57" s="26"/>
      <c r="E57" s="26"/>
      <c r="F57" s="26"/>
      <c r="G57" s="26"/>
      <c r="H57" s="26"/>
      <c r="I57" s="26"/>
      <c r="O57" s="286" t="s">
        <v>412</v>
      </c>
      <c r="P57" s="26"/>
      <c r="Q57" s="26"/>
      <c r="R57" s="26"/>
      <c r="S57" s="26"/>
      <c r="T57" s="26"/>
      <c r="U57" s="26">
        <v>800</v>
      </c>
    </row>
    <row r="58" spans="3:22" ht="14.25">
      <c r="C58" s="37" t="s">
        <v>139</v>
      </c>
      <c r="D58" s="35">
        <f>SUM(D50:D56)</f>
        <v>-1000</v>
      </c>
      <c r="E58" s="35">
        <f>SUM(E50:E56)</f>
        <v>-1100</v>
      </c>
      <c r="F58" s="35">
        <f>SUM(F50:F56)</f>
        <v>-1100</v>
      </c>
      <c r="G58" s="35">
        <f>SUM(G50:G57)</f>
        <v>-1400</v>
      </c>
      <c r="H58" s="35">
        <f>SUM(H50:H56)</f>
        <v>-1400</v>
      </c>
      <c r="I58" s="35">
        <f>SUM(I50:I56)</f>
        <v>-400</v>
      </c>
      <c r="J58" s="288">
        <f>NPV(F81,E58:I58)+D58</f>
        <v>-4208.5031042294468</v>
      </c>
      <c r="O58" s="37" t="s">
        <v>139</v>
      </c>
      <c r="P58" s="35">
        <f>SUM(P50:P56)</f>
        <v>-10800</v>
      </c>
      <c r="Q58" s="35">
        <f>SUM(Q50:Q56)</f>
        <v>-1210</v>
      </c>
      <c r="R58" s="35">
        <f>SUM(R50:R56)</f>
        <v>410</v>
      </c>
      <c r="S58" s="35">
        <f>SUM(S50:S57)</f>
        <v>1530</v>
      </c>
      <c r="T58" s="35">
        <f>SUM(T50:T56)</f>
        <v>2650</v>
      </c>
      <c r="U58" s="35">
        <f>SUM(U50:U57)</f>
        <v>4670</v>
      </c>
      <c r="V58" s="297">
        <f>NPV(F81,Q58:U58)+P58</f>
        <v>-7716.7389890345303</v>
      </c>
    </row>
    <row r="59" spans="3:22">
      <c r="C59" s="3"/>
      <c r="E59" s="5"/>
      <c r="F59" s="5"/>
      <c r="G59" s="5"/>
      <c r="H59" s="5"/>
      <c r="I59" s="5"/>
    </row>
    <row r="61" spans="3:22">
      <c r="K61" s="274"/>
    </row>
    <row r="63" spans="3:22">
      <c r="N63" s="1639" t="s">
        <v>422</v>
      </c>
      <c r="O63" s="1638"/>
    </row>
    <row r="64" spans="3:22">
      <c r="N64" s="1638"/>
      <c r="O64" s="1638"/>
    </row>
    <row r="65" spans="2:15">
      <c r="N65" s="1638"/>
      <c r="O65" s="1638"/>
    </row>
    <row r="66" spans="2:15">
      <c r="N66" s="1638"/>
      <c r="O66" s="1638"/>
    </row>
    <row r="67" spans="2:15">
      <c r="N67" s="1638"/>
      <c r="O67" s="1638"/>
    </row>
    <row r="68" spans="2:15">
      <c r="N68" s="1638"/>
      <c r="O68" s="1638"/>
    </row>
    <row r="79" spans="2:15" ht="13.5" thickBot="1"/>
    <row r="80" spans="2:15" ht="14.25">
      <c r="B80" s="40" t="s">
        <v>140</v>
      </c>
      <c r="C80" s="285">
        <v>0.13</v>
      </c>
      <c r="E80" t="s">
        <v>0</v>
      </c>
      <c r="F80">
        <v>0.2</v>
      </c>
    </row>
    <row r="81" spans="2:6" ht="15">
      <c r="B81" s="42" t="s">
        <v>141</v>
      </c>
      <c r="C81" s="43" t="s">
        <v>142</v>
      </c>
      <c r="E81" t="s">
        <v>421</v>
      </c>
      <c r="F81">
        <f>(1+F80/(360/60))^(360/60)-1</f>
        <v>0.21742617421124888</v>
      </c>
    </row>
    <row r="82" spans="2:6" ht="15">
      <c r="B82" s="44" t="s">
        <v>143</v>
      </c>
      <c r="C82" s="45"/>
    </row>
    <row r="83" spans="2:6" ht="15">
      <c r="B83" s="44" t="s">
        <v>144</v>
      </c>
      <c r="C83" s="46"/>
      <c r="D83" s="4"/>
    </row>
    <row r="84" spans="2:6">
      <c r="B84" s="47" t="s">
        <v>7</v>
      </c>
      <c r="C84" s="48"/>
    </row>
    <row r="85" spans="2:6">
      <c r="B85" s="47" t="s">
        <v>146</v>
      </c>
      <c r="C85" s="49"/>
      <c r="D85" s="4"/>
    </row>
    <row r="86" spans="2:6">
      <c r="B86" s="47" t="s">
        <v>148</v>
      </c>
      <c r="C86" s="49"/>
      <c r="D86" s="4"/>
    </row>
    <row r="87" spans="2:6">
      <c r="B87" s="47" t="s">
        <v>150</v>
      </c>
      <c r="C87" s="49"/>
      <c r="D87" s="4"/>
    </row>
    <row r="88" spans="2:6">
      <c r="B88" s="47" t="s">
        <v>152</v>
      </c>
      <c r="C88" s="49"/>
      <c r="D88" s="4"/>
      <c r="E88" s="4"/>
      <c r="F88" s="4"/>
    </row>
    <row r="89" spans="2:6" ht="13.5" thickBot="1">
      <c r="B89" s="50" t="s">
        <v>154</v>
      </c>
      <c r="C89" s="51"/>
      <c r="D89" s="4"/>
      <c r="E89" s="4"/>
      <c r="F89" s="4"/>
    </row>
  </sheetData>
  <mergeCells count="1">
    <mergeCell ref="N63:O68"/>
  </mergeCells>
  <pageMargins left="0.7" right="0.7" top="0.75" bottom="0.75" header="0.3" footer="0.3"/>
  <pageSetup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086D2-713E-42B1-83B9-BC5170C4E7A3}">
  <dimension ref="A1:U197"/>
  <sheetViews>
    <sheetView topLeftCell="A135" workbookViewId="0">
      <selection activeCell="D164" sqref="D164"/>
    </sheetView>
  </sheetViews>
  <sheetFormatPr defaultRowHeight="12.75"/>
  <cols>
    <col min="3" max="3" width="35.42578125" bestFit="1" customWidth="1"/>
    <col min="4" max="4" width="37.28515625" bestFit="1" customWidth="1"/>
    <col min="5" max="5" width="15" bestFit="1" customWidth="1"/>
    <col min="6" max="6" width="33.85546875" customWidth="1"/>
    <col min="7" max="7" width="18.85546875" customWidth="1"/>
    <col min="8" max="8" width="18.5703125" customWidth="1"/>
    <col min="9" max="9" width="16.42578125" customWidth="1"/>
    <col min="10" max="10" width="20.7109375" customWidth="1"/>
    <col min="11" max="11" width="13.5703125" bestFit="1" customWidth="1"/>
    <col min="12" max="12" width="10.7109375" bestFit="1" customWidth="1"/>
    <col min="13" max="13" width="17.85546875" bestFit="1" customWidth="1"/>
    <col min="14" max="14" width="11.7109375" bestFit="1" customWidth="1"/>
    <col min="15" max="15" width="35.42578125" bestFit="1" customWidth="1"/>
    <col min="16" max="16" width="15.140625" bestFit="1" customWidth="1"/>
    <col min="17" max="18" width="12.28515625" bestFit="1" customWidth="1"/>
    <col min="19" max="19" width="12" customWidth="1"/>
    <col min="20" max="20" width="13.42578125" bestFit="1" customWidth="1"/>
    <col min="21" max="21" width="12.28515625" style="374" bestFit="1" customWidth="1"/>
    <col min="22" max="22" width="13.42578125" bestFit="1" customWidth="1"/>
  </cols>
  <sheetData>
    <row r="1" spans="21:21">
      <c r="U1" s="1644" t="s">
        <v>558</v>
      </c>
    </row>
    <row r="2" spans="21:21">
      <c r="U2" s="1643"/>
    </row>
    <row r="17" spans="8:20">
      <c r="K17" t="s">
        <v>423</v>
      </c>
    </row>
    <row r="18" spans="8:20">
      <c r="J18" t="s">
        <v>424</v>
      </c>
      <c r="K18">
        <v>500000</v>
      </c>
    </row>
    <row r="20" spans="8:20">
      <c r="J20" t="s">
        <v>0</v>
      </c>
      <c r="K20" s="208">
        <v>0.12</v>
      </c>
      <c r="M20" s="303" t="s">
        <v>556</v>
      </c>
    </row>
    <row r="21" spans="8:20">
      <c r="J21" t="s">
        <v>425</v>
      </c>
      <c r="K21">
        <v>60</v>
      </c>
      <c r="M21" s="303">
        <f>K22/K21</f>
        <v>6</v>
      </c>
    </row>
    <row r="22" spans="8:20">
      <c r="J22" t="s">
        <v>555</v>
      </c>
      <c r="K22">
        <v>360</v>
      </c>
    </row>
    <row r="23" spans="8:20">
      <c r="J23" t="s">
        <v>426</v>
      </c>
      <c r="K23" s="302">
        <f>((1+(K20/M21))^M21)-1</f>
        <v>0.12616241926400007</v>
      </c>
    </row>
    <row r="24" spans="8:20">
      <c r="J24" t="s">
        <v>557</v>
      </c>
      <c r="K24">
        <v>3</v>
      </c>
    </row>
    <row r="29" spans="8:20">
      <c r="H29" s="1683" t="s">
        <v>551</v>
      </c>
      <c r="I29" s="1684"/>
      <c r="J29" s="1681" t="s">
        <v>108</v>
      </c>
      <c r="K29" s="1682"/>
      <c r="L29" s="1682"/>
      <c r="M29" s="1682"/>
      <c r="N29" s="1682"/>
      <c r="P29" s="1615" t="s">
        <v>103</v>
      </c>
      <c r="Q29" s="1613"/>
      <c r="R29" s="1613"/>
      <c r="S29" s="1613"/>
      <c r="T29" s="1614"/>
    </row>
    <row r="30" spans="8:20">
      <c r="H30" s="1684"/>
      <c r="I30" s="1684"/>
      <c r="J30" s="371" t="s">
        <v>105</v>
      </c>
      <c r="K30" s="371" t="s">
        <v>109</v>
      </c>
      <c r="L30" s="371" t="s">
        <v>102</v>
      </c>
      <c r="M30" s="371" t="s">
        <v>110</v>
      </c>
      <c r="N30" s="371" t="s">
        <v>107</v>
      </c>
      <c r="P30" s="24" t="s">
        <v>105</v>
      </c>
      <c r="Q30" s="24" t="s">
        <v>106</v>
      </c>
      <c r="R30" s="24" t="s">
        <v>102</v>
      </c>
      <c r="S30" s="24" t="s">
        <v>53</v>
      </c>
      <c r="T30" s="24" t="s">
        <v>107</v>
      </c>
    </row>
    <row r="31" spans="8:20">
      <c r="H31" s="1684"/>
      <c r="I31" s="1684"/>
      <c r="J31" s="372">
        <v>0</v>
      </c>
      <c r="K31" s="373"/>
      <c r="L31" s="373"/>
      <c r="M31" s="373"/>
      <c r="N31" s="373">
        <f>K18*0.7</f>
        <v>350000</v>
      </c>
      <c r="P31" s="25">
        <v>0</v>
      </c>
      <c r="Q31" s="26"/>
      <c r="R31" s="26"/>
      <c r="S31" s="26"/>
      <c r="T31" s="26">
        <v>350000</v>
      </c>
    </row>
    <row r="32" spans="8:20">
      <c r="H32" s="1684"/>
      <c r="I32" s="1684"/>
      <c r="J32" s="372">
        <v>1</v>
      </c>
      <c r="K32" s="1247">
        <f>L32+M32</f>
        <v>160823.51340906671</v>
      </c>
      <c r="L32" s="1234">
        <f>K23*N31</f>
        <v>44156.846742400026</v>
      </c>
      <c r="M32" s="1233">
        <f>$N$31/3</f>
        <v>116666.66666666667</v>
      </c>
      <c r="N32" s="373">
        <f>N31-M32</f>
        <v>233333.33333333331</v>
      </c>
      <c r="P32" s="25">
        <v>1</v>
      </c>
      <c r="Q32" s="1245">
        <f>$T$31*$K$23/((1-(1+$K$23)^-$K$24))</f>
        <v>147267.72510341924</v>
      </c>
      <c r="R32" s="26">
        <f>T31*$K$23</f>
        <v>44156.846742400026</v>
      </c>
      <c r="S32" s="26">
        <f>Q32-R32</f>
        <v>103110.87836101922</v>
      </c>
      <c r="T32" s="26">
        <f>T31-S32</f>
        <v>246889.12163898078</v>
      </c>
    </row>
    <row r="33" spans="8:20">
      <c r="H33" s="1684"/>
      <c r="I33" s="1684"/>
      <c r="J33" s="372">
        <v>2</v>
      </c>
      <c r="K33" s="1247">
        <f>L33+M33</f>
        <v>146104.56449493335</v>
      </c>
      <c r="L33" s="1234">
        <f>K23*N32</f>
        <v>29437.897828266679</v>
      </c>
      <c r="M33" s="1233">
        <f>$N$31/3</f>
        <v>116666.66666666667</v>
      </c>
      <c r="N33" s="373">
        <f>N32-M33</f>
        <v>116666.66666666664</v>
      </c>
      <c r="P33" s="25">
        <v>2</v>
      </c>
      <c r="Q33" s="1245">
        <f>$T$31*$K$23/((1-(1+$K$23)^-$K$24))</f>
        <v>147267.72510341924</v>
      </c>
      <c r="R33" s="26">
        <f>T32*$K$23</f>
        <v>31148.128875937804</v>
      </c>
      <c r="S33" s="26">
        <f>Q33-R33</f>
        <v>116119.59622748144</v>
      </c>
      <c r="T33" s="211">
        <f>T32-S33</f>
        <v>130769.52541149934</v>
      </c>
    </row>
    <row r="34" spans="8:20">
      <c r="H34" s="1684"/>
      <c r="I34" s="1684"/>
      <c r="J34" s="372">
        <v>3</v>
      </c>
      <c r="K34" s="1247">
        <f>L34+M34</f>
        <v>131385.61558080002</v>
      </c>
      <c r="L34" s="1234">
        <f>K23*N33</f>
        <v>14718.948914133338</v>
      </c>
      <c r="M34" s="1233">
        <f>$N$31/3</f>
        <v>116666.66666666667</v>
      </c>
      <c r="N34" s="373">
        <f>N33-M34</f>
        <v>0</v>
      </c>
      <c r="P34" s="25">
        <v>3</v>
      </c>
      <c r="Q34" s="1245">
        <f>$T$31*$K$23/((1-(1+$K$23)^-$K$24))</f>
        <v>147267.72510341924</v>
      </c>
      <c r="R34" s="26">
        <f>T33*$K$23</f>
        <v>16498.19969191989</v>
      </c>
      <c r="S34" s="26">
        <f>Q34-R34</f>
        <v>130769.52541149936</v>
      </c>
      <c r="T34" s="211">
        <f>T33-S34</f>
        <v>0</v>
      </c>
    </row>
    <row r="35" spans="8:20" ht="38.25">
      <c r="K35" s="1246" t="s">
        <v>1217</v>
      </c>
      <c r="O35" s="1246" t="s">
        <v>1218</v>
      </c>
      <c r="Q35" s="1246" t="s">
        <v>1217</v>
      </c>
    </row>
    <row r="36" spans="8:20" ht="13.5" thickBot="1"/>
    <row r="37" spans="8:20" ht="38.25">
      <c r="H37" s="1241" t="s">
        <v>1216</v>
      </c>
      <c r="I37" s="1242">
        <v>160823.51340906671</v>
      </c>
    </row>
    <row r="38" spans="8:20">
      <c r="H38" s="218"/>
      <c r="I38" s="1243">
        <v>146104.56449493335</v>
      </c>
    </row>
    <row r="39" spans="8:20" ht="13.5" thickBot="1">
      <c r="H39" s="361"/>
      <c r="I39" s="1244">
        <v>131385.61558080002</v>
      </c>
    </row>
    <row r="40" spans="8:20">
      <c r="J40" t="s">
        <v>430</v>
      </c>
    </row>
    <row r="41" spans="8:20">
      <c r="J41" t="s">
        <v>431</v>
      </c>
      <c r="K41">
        <v>10</v>
      </c>
    </row>
    <row r="42" spans="8:20">
      <c r="J42" t="s">
        <v>432</v>
      </c>
      <c r="K42">
        <v>6</v>
      </c>
    </row>
    <row r="43" spans="8:20">
      <c r="J43" t="s">
        <v>433</v>
      </c>
    </row>
    <row r="45" spans="8:20">
      <c r="J45" t="s">
        <v>434</v>
      </c>
    </row>
    <row r="46" spans="8:20">
      <c r="J46" t="s">
        <v>435</v>
      </c>
    </row>
    <row r="47" spans="8:20" ht="102">
      <c r="J47" s="258" t="s">
        <v>436</v>
      </c>
    </row>
    <row r="48" spans="8:20">
      <c r="J48" t="s">
        <v>437</v>
      </c>
    </row>
    <row r="49" spans="10:13">
      <c r="J49" t="s">
        <v>438</v>
      </c>
    </row>
    <row r="50" spans="10:13">
      <c r="J50" t="s">
        <v>439</v>
      </c>
    </row>
    <row r="51" spans="10:13">
      <c r="J51" t="s">
        <v>440</v>
      </c>
    </row>
    <row r="56" spans="10:13">
      <c r="J56" t="s">
        <v>444</v>
      </c>
    </row>
    <row r="57" spans="10:13">
      <c r="J57" t="s">
        <v>446</v>
      </c>
    </row>
    <row r="63" spans="10:13">
      <c r="J63" s="259" t="s">
        <v>450</v>
      </c>
      <c r="K63" s="259"/>
      <c r="L63" s="259"/>
      <c r="M63" s="259"/>
    </row>
    <row r="79" spans="8:8">
      <c r="H79" s="351"/>
    </row>
    <row r="80" spans="8:8" ht="13.5" thickBot="1">
      <c r="H80" s="351"/>
    </row>
    <row r="81" spans="3:10" ht="18">
      <c r="H81" s="351"/>
      <c r="J81" s="664" t="s">
        <v>817</v>
      </c>
    </row>
    <row r="82" spans="3:10" ht="18.75" thickBot="1">
      <c r="J82" s="665">
        <v>10</v>
      </c>
    </row>
    <row r="83" spans="3:10" ht="13.5" customHeight="1"/>
    <row r="87" spans="3:10">
      <c r="G87" s="1685" t="s">
        <v>553</v>
      </c>
      <c r="H87" s="1685"/>
      <c r="I87" s="1685"/>
    </row>
    <row r="88" spans="3:10">
      <c r="C88" s="272" t="s">
        <v>365</v>
      </c>
      <c r="D88" s="25"/>
      <c r="E88" s="25">
        <v>400000</v>
      </c>
      <c r="F88" s="25">
        <f>E88*1.15</f>
        <v>459999.99999999994</v>
      </c>
      <c r="G88" s="25">
        <f>F88*1.1</f>
        <v>506000</v>
      </c>
      <c r="H88" s="25">
        <f>G88*1.05</f>
        <v>531300</v>
      </c>
      <c r="I88" s="25">
        <f>H88*1.05</f>
        <v>557865</v>
      </c>
    </row>
    <row r="89" spans="3:10">
      <c r="C89" s="27" t="s">
        <v>361</v>
      </c>
      <c r="D89" s="27" t="s">
        <v>112</v>
      </c>
      <c r="E89" s="27" t="s">
        <v>113</v>
      </c>
      <c r="F89" s="27" t="s">
        <v>114</v>
      </c>
      <c r="G89" s="27" t="s">
        <v>115</v>
      </c>
      <c r="H89" s="27" t="s">
        <v>116</v>
      </c>
      <c r="I89" s="27" t="s">
        <v>117</v>
      </c>
    </row>
    <row r="90" spans="3:10">
      <c r="C90" s="269" t="s">
        <v>118</v>
      </c>
      <c r="D90" s="270"/>
      <c r="E90" s="270"/>
      <c r="F90" s="270"/>
      <c r="G90" s="270"/>
      <c r="H90" s="270"/>
      <c r="I90" s="270"/>
    </row>
    <row r="91" spans="3:10">
      <c r="C91" s="25" t="s">
        <v>356</v>
      </c>
      <c r="D91" s="26"/>
      <c r="E91" s="26">
        <f>E88*$J$82</f>
        <v>4000000</v>
      </c>
      <c r="F91" s="26">
        <f>F88*$J$82</f>
        <v>4599999.9999999991</v>
      </c>
      <c r="G91" s="26">
        <f>G88*$J$82</f>
        <v>5060000</v>
      </c>
      <c r="H91" s="26">
        <f>H88*$J$82</f>
        <v>5313000</v>
      </c>
      <c r="I91" s="26">
        <f>I88*$J$82</f>
        <v>5578650</v>
      </c>
    </row>
    <row r="92" spans="3:10">
      <c r="C92" s="25" t="s">
        <v>119</v>
      </c>
      <c r="D92" s="26"/>
      <c r="E92" s="26"/>
      <c r="F92" s="26"/>
      <c r="G92" s="26"/>
      <c r="H92" s="26"/>
      <c r="I92" s="26"/>
    </row>
    <row r="93" spans="3:10">
      <c r="C93" s="25" t="s">
        <v>332</v>
      </c>
      <c r="D93" s="26"/>
      <c r="E93" s="26"/>
      <c r="F93" s="26"/>
      <c r="G93" s="26"/>
      <c r="H93" s="26"/>
      <c r="I93" s="26">
        <f>-D117*0.3</f>
        <v>150000</v>
      </c>
    </row>
    <row r="94" spans="3:10">
      <c r="C94" s="25" t="s">
        <v>447</v>
      </c>
      <c r="D94" s="26"/>
      <c r="E94" s="26"/>
      <c r="F94" s="26"/>
      <c r="G94" s="26"/>
      <c r="H94" s="26"/>
      <c r="I94" s="280">
        <f>(100000)*0.3</f>
        <v>30000</v>
      </c>
      <c r="J94" s="351"/>
    </row>
    <row r="95" spans="3:10">
      <c r="C95" s="269" t="s">
        <v>121</v>
      </c>
      <c r="D95" s="270"/>
      <c r="E95" s="270"/>
      <c r="F95" s="270"/>
      <c r="G95" s="270"/>
      <c r="H95" s="270"/>
      <c r="I95" s="270"/>
    </row>
    <row r="96" spans="3:10">
      <c r="C96" s="25" t="s">
        <v>122</v>
      </c>
      <c r="D96" s="26"/>
      <c r="E96" s="1235">
        <v>-44156.846742399997</v>
      </c>
      <c r="F96" s="1235">
        <v>-31148.1288759378</v>
      </c>
      <c r="G96" s="1235">
        <v>-16498.199691919901</v>
      </c>
      <c r="H96" s="26"/>
      <c r="I96" s="26"/>
    </row>
    <row r="97" spans="3:15">
      <c r="C97" s="47" t="s">
        <v>441</v>
      </c>
      <c r="D97" s="26"/>
      <c r="E97" s="26">
        <f>-E91*0.015</f>
        <v>-60000</v>
      </c>
      <c r="F97" s="26">
        <f>-F91*0.015</f>
        <v>-68999.999999999985</v>
      </c>
      <c r="G97" s="26">
        <f>-G91*0.015</f>
        <v>-75900</v>
      </c>
      <c r="H97" s="26">
        <f>-H91*0.015</f>
        <v>-79695</v>
      </c>
      <c r="I97" s="26">
        <f>-I91*0.015</f>
        <v>-83679.75</v>
      </c>
    </row>
    <row r="98" spans="3:15">
      <c r="C98" s="47" t="s">
        <v>442</v>
      </c>
      <c r="D98" s="26"/>
      <c r="E98" s="26">
        <f>-E91*0.05</f>
        <v>-200000</v>
      </c>
      <c r="F98" s="26">
        <f>-F91*0.05</f>
        <v>-229999.99999999997</v>
      </c>
      <c r="G98" s="26">
        <f>-G91*0.05</f>
        <v>-253000</v>
      </c>
      <c r="H98" s="26">
        <f>-H91*0.05</f>
        <v>-265650</v>
      </c>
      <c r="I98" s="26">
        <f>-I91*0.05</f>
        <v>-278932.5</v>
      </c>
    </row>
    <row r="99" spans="3:15" ht="15.75" customHeight="1">
      <c r="C99" s="370" t="s">
        <v>385</v>
      </c>
      <c r="D99" s="118"/>
      <c r="E99" s="118">
        <f>E88*K42*-1</f>
        <v>-2400000</v>
      </c>
      <c r="F99" s="118">
        <f>F88*K42*-1</f>
        <v>-2759999.9999999995</v>
      </c>
      <c r="G99" s="118">
        <f>G88*K42*-1</f>
        <v>-3036000</v>
      </c>
      <c r="H99" s="118">
        <f>H88*K42*-1</f>
        <v>-3187800</v>
      </c>
      <c r="I99" s="118">
        <f>I88*K42*-1</f>
        <v>-3347190</v>
      </c>
    </row>
    <row r="100" spans="3:15" ht="30" customHeight="1">
      <c r="C100" s="1666" t="s">
        <v>552</v>
      </c>
      <c r="D100" s="1667"/>
      <c r="E100" s="1667">
        <f>-(180000-137000)*13*1.4</f>
        <v>-782600</v>
      </c>
      <c r="F100" s="1667">
        <f>-(180000-137000)*13*1.4</f>
        <v>-782600</v>
      </c>
      <c r="G100" s="1667">
        <f>-(180000-137000)*13*1.4</f>
        <v>-782600</v>
      </c>
      <c r="H100" s="1667">
        <f>-(180000-137000)*13*1.4</f>
        <v>-782600</v>
      </c>
      <c r="I100" s="1667">
        <f>-(180000-137000)*13*1.4</f>
        <v>-782600</v>
      </c>
      <c r="J100" s="1655" t="s">
        <v>549</v>
      </c>
      <c r="K100" s="1655"/>
      <c r="L100" s="1655"/>
      <c r="M100" s="1655"/>
      <c r="N100" s="1655"/>
      <c r="O100" s="1655"/>
    </row>
    <row r="101" spans="3:15" ht="30" customHeight="1">
      <c r="C101" s="1667"/>
      <c r="D101" s="1667"/>
      <c r="E101" s="1667"/>
      <c r="F101" s="1667"/>
      <c r="G101" s="1667"/>
      <c r="H101" s="1667"/>
      <c r="I101" s="1667"/>
      <c r="J101" s="1665" t="s">
        <v>550</v>
      </c>
      <c r="K101" s="1665"/>
      <c r="L101" s="1665"/>
      <c r="M101" s="1665"/>
      <c r="N101" s="1665"/>
      <c r="O101" s="1665"/>
    </row>
    <row r="102" spans="3:15" ht="30" customHeight="1">
      <c r="C102" s="198"/>
      <c r="D102" s="103"/>
      <c r="E102" s="103"/>
      <c r="F102" s="103"/>
      <c r="G102" s="103"/>
      <c r="H102" s="103"/>
      <c r="I102" s="103"/>
      <c r="J102" s="338"/>
      <c r="K102" s="338"/>
      <c r="L102" s="338"/>
      <c r="M102" s="338"/>
      <c r="N102" s="338"/>
      <c r="O102" s="338"/>
    </row>
    <row r="103" spans="3:15" ht="15.75" customHeight="1">
      <c r="C103" s="339"/>
      <c r="E103" s="297"/>
      <c r="F103" s="297"/>
      <c r="G103" s="297"/>
      <c r="H103" s="297"/>
      <c r="I103" s="297"/>
    </row>
    <row r="104" spans="3:15">
      <c r="C104" s="267" t="s">
        <v>125</v>
      </c>
      <c r="D104" s="268"/>
      <c r="E104" s="268"/>
      <c r="F104" s="268"/>
      <c r="G104" s="268"/>
      <c r="H104" s="268"/>
      <c r="I104" s="268"/>
    </row>
    <row r="105" spans="3:15">
      <c r="C105" s="25" t="s">
        <v>126</v>
      </c>
      <c r="D105" s="26"/>
      <c r="E105" s="26">
        <f>D117/5</f>
        <v>-100000</v>
      </c>
      <c r="F105" s="26">
        <f>D117/5</f>
        <v>-100000</v>
      </c>
      <c r="G105" s="26">
        <f>D117/5</f>
        <v>-100000</v>
      </c>
      <c r="H105" s="26">
        <f>D117/5</f>
        <v>-100000</v>
      </c>
      <c r="I105" s="26">
        <f>D117/5</f>
        <v>-100000</v>
      </c>
      <c r="J105" t="s">
        <v>443</v>
      </c>
    </row>
    <row r="106" spans="3:15">
      <c r="C106" s="25" t="s">
        <v>127</v>
      </c>
      <c r="D106" s="26"/>
      <c r="E106" s="26"/>
      <c r="F106" s="26"/>
      <c r="G106" s="26">
        <f>F118/5</f>
        <v>-20000</v>
      </c>
      <c r="H106" s="26">
        <f>F118/5</f>
        <v>-20000</v>
      </c>
      <c r="I106" s="26">
        <f>F118/5</f>
        <v>-20000</v>
      </c>
    </row>
    <row r="107" spans="3:15">
      <c r="C107" s="25" t="s">
        <v>129</v>
      </c>
      <c r="D107" s="26"/>
      <c r="E107" s="26"/>
      <c r="F107" s="26"/>
      <c r="G107" s="26"/>
      <c r="H107" s="26"/>
      <c r="I107" s="26"/>
    </row>
    <row r="108" spans="3:15">
      <c r="C108" s="25" t="s">
        <v>333</v>
      </c>
      <c r="D108" s="26"/>
      <c r="E108" s="26"/>
      <c r="F108" s="26"/>
      <c r="G108" s="26"/>
      <c r="H108" s="26"/>
      <c r="I108" s="26">
        <v>0</v>
      </c>
    </row>
    <row r="109" spans="3:15">
      <c r="C109" s="25" t="s">
        <v>334</v>
      </c>
      <c r="D109" s="26"/>
      <c r="E109" s="26"/>
      <c r="F109" s="26"/>
      <c r="G109" s="26"/>
      <c r="H109" s="26"/>
      <c r="I109" s="26">
        <v>-40000</v>
      </c>
    </row>
    <row r="110" spans="3:15" ht="14.25">
      <c r="C110" s="31" t="s">
        <v>130</v>
      </c>
      <c r="D110" s="32"/>
      <c r="E110" s="32">
        <f>SUM(E90:E109)</f>
        <v>413243.15325760003</v>
      </c>
      <c r="F110" s="32">
        <f>SUM(F90:F109)</f>
        <v>627251.87112406129</v>
      </c>
      <c r="G110" s="32">
        <f>SUM(G90:G109)</f>
        <v>776001.80030808039</v>
      </c>
      <c r="H110" s="32">
        <f>SUM(H90:H109)</f>
        <v>877255</v>
      </c>
      <c r="I110" s="32">
        <f>SUM(I90:I109)</f>
        <v>1106247.75</v>
      </c>
    </row>
    <row r="111" spans="3:15">
      <c r="C111" s="33" t="s">
        <v>131</v>
      </c>
      <c r="D111" s="26"/>
      <c r="E111" s="26">
        <f>E110*0.1</f>
        <v>41324.315325760006</v>
      </c>
      <c r="F111" s="26">
        <f>F110*0.1</f>
        <v>62725.187112406129</v>
      </c>
      <c r="G111" s="26">
        <f>G110*0.1</f>
        <v>77600.180030808042</v>
      </c>
      <c r="H111" s="26">
        <f>H110*0.1</f>
        <v>87725.5</v>
      </c>
      <c r="I111" s="26">
        <f>I110*0.1</f>
        <v>110624.77500000001</v>
      </c>
    </row>
    <row r="112" spans="3:15" ht="28.5">
      <c r="C112" s="34" t="s">
        <v>132</v>
      </c>
      <c r="D112" s="35"/>
      <c r="E112" s="35">
        <f>E110-E111</f>
        <v>371918.83793184004</v>
      </c>
      <c r="F112" s="35">
        <f>F110-F111</f>
        <v>564526.68401165516</v>
      </c>
      <c r="G112" s="35">
        <f>G110-G111</f>
        <v>698401.6202772723</v>
      </c>
      <c r="H112" s="35">
        <f>H110-H111</f>
        <v>789529.5</v>
      </c>
      <c r="I112" s="35">
        <f>I110-I111</f>
        <v>995622.97499999998</v>
      </c>
    </row>
    <row r="113" spans="3:17">
      <c r="C113" s="33" t="s">
        <v>133</v>
      </c>
      <c r="D113" s="26"/>
      <c r="E113" s="26">
        <f>-SUM(E105:E109)</f>
        <v>100000</v>
      </c>
      <c r="F113" s="26">
        <f>-SUM(F105:F109)</f>
        <v>100000</v>
      </c>
      <c r="G113" s="26">
        <f>-SUM(G105:G109)</f>
        <v>120000</v>
      </c>
      <c r="H113" s="26">
        <f>-SUM(H105:H109)</f>
        <v>120000</v>
      </c>
      <c r="I113" s="118">
        <f>-SUM(I105:I109)</f>
        <v>160000</v>
      </c>
    </row>
    <row r="114" spans="3:17">
      <c r="C114" s="284" t="s">
        <v>408</v>
      </c>
      <c r="D114" s="26">
        <f>-I180</f>
        <v>-343433.33333333343</v>
      </c>
      <c r="E114" s="26">
        <f>K184</f>
        <v>-51514.999999999985</v>
      </c>
      <c r="F114" s="26">
        <f>K185</f>
        <v>-39494.833333333379</v>
      </c>
      <c r="G114" s="26">
        <f>K186</f>
        <v>-21722.158333333358</v>
      </c>
      <c r="H114" s="211">
        <f>K187</f>
        <v>-22808.26625000003</v>
      </c>
      <c r="I114" s="342"/>
    </row>
    <row r="115" spans="3:17">
      <c r="C115" s="25" t="s">
        <v>134</v>
      </c>
      <c r="D115" s="26"/>
      <c r="E115" s="1236">
        <v>-103110.878361019</v>
      </c>
      <c r="F115" s="1236">
        <v>-116119.596227481</v>
      </c>
      <c r="G115" s="1236">
        <v>-130769.52541149899</v>
      </c>
      <c r="H115" s="26"/>
      <c r="I115" s="103"/>
    </row>
    <row r="116" spans="3:17">
      <c r="C116" s="25" t="s">
        <v>135</v>
      </c>
      <c r="D116" s="26">
        <f>K18*0.7</f>
        <v>350000</v>
      </c>
      <c r="E116" s="26"/>
      <c r="F116" s="26"/>
      <c r="G116" s="26"/>
      <c r="H116" s="26"/>
      <c r="I116" s="26"/>
    </row>
    <row r="117" spans="3:17">
      <c r="C117" s="25" t="s">
        <v>315</v>
      </c>
      <c r="D117" s="26">
        <v>-500000</v>
      </c>
      <c r="E117" s="26"/>
      <c r="F117" s="26"/>
      <c r="G117" s="26"/>
      <c r="H117" s="26"/>
      <c r="I117" s="26"/>
    </row>
    <row r="118" spans="3:17" ht="18">
      <c r="C118" s="25" t="s">
        <v>445</v>
      </c>
      <c r="D118" s="26"/>
      <c r="E118" s="26"/>
      <c r="F118" s="26">
        <v>-100000</v>
      </c>
      <c r="G118" s="26"/>
      <c r="I118" s="26"/>
      <c r="J118" s="1652" t="s">
        <v>819</v>
      </c>
      <c r="K118" s="1653"/>
      <c r="L118" s="1653"/>
      <c r="M118" s="1653"/>
      <c r="N118" s="1653"/>
    </row>
    <row r="119" spans="3:17">
      <c r="C119" s="286" t="s">
        <v>412</v>
      </c>
      <c r="D119" s="26"/>
      <c r="E119" s="26"/>
      <c r="F119" s="26"/>
      <c r="G119" s="26"/>
      <c r="H119" s="26"/>
      <c r="I119" s="26">
        <f>(D114+E114+F114+G114+H114)*-1</f>
        <v>478973.59125000023</v>
      </c>
    </row>
    <row r="120" spans="3:17" ht="14.25">
      <c r="C120" s="37" t="s">
        <v>139</v>
      </c>
      <c r="D120" s="35">
        <f>SUM(D112:D118)</f>
        <v>-493433.33333333343</v>
      </c>
      <c r="E120" s="35">
        <f>SUM(E112:E118)</f>
        <v>317292.95957082103</v>
      </c>
      <c r="F120" s="35">
        <f>SUM(F112:F118)</f>
        <v>408912.25445084076</v>
      </c>
      <c r="G120" s="35">
        <f>SUM(G112:G119)</f>
        <v>665909.93653244001</v>
      </c>
      <c r="H120" s="35">
        <f>SUM(H112:H118)</f>
        <v>886721.23375000001</v>
      </c>
      <c r="I120" s="35">
        <f>SUM(I112:I119)</f>
        <v>1634596.5662500004</v>
      </c>
      <c r="J120" s="375">
        <f>NPV(C142,E120:I120)+D120</f>
        <v>2042243.4630539655</v>
      </c>
      <c r="K120" s="376" t="s">
        <v>29</v>
      </c>
    </row>
    <row r="121" spans="3:17">
      <c r="C121" s="3"/>
      <c r="E121" s="5"/>
      <c r="F121" s="5"/>
      <c r="G121" s="5"/>
      <c r="H121" s="5"/>
      <c r="I121" s="5"/>
    </row>
    <row r="123" spans="3:17">
      <c r="D123" s="351"/>
      <c r="E123" s="297"/>
      <c r="K123" s="274"/>
    </row>
    <row r="124" spans="3:17" ht="80.25" customHeight="1" thickBot="1">
      <c r="C124" s="1654" t="s">
        <v>988</v>
      </c>
      <c r="D124" s="1651"/>
      <c r="E124" s="1651"/>
      <c r="F124" s="1651"/>
      <c r="G124" s="1651"/>
      <c r="H124" s="1651"/>
      <c r="I124" s="1651"/>
      <c r="J124" s="1651"/>
      <c r="K124" s="1651"/>
      <c r="L124" s="1651"/>
      <c r="M124" s="1651"/>
    </row>
    <row r="125" spans="3:17" ht="12.75" customHeight="1">
      <c r="D125" s="351"/>
      <c r="N125" s="1656" t="s">
        <v>562</v>
      </c>
      <c r="O125" s="1657"/>
      <c r="P125" s="1657"/>
      <c r="Q125" s="1658"/>
    </row>
    <row r="126" spans="3:17">
      <c r="N126" s="1659"/>
      <c r="O126" s="1660"/>
      <c r="P126" s="1660"/>
      <c r="Q126" s="1661"/>
    </row>
    <row r="127" spans="3:17">
      <c r="N127" s="1659"/>
      <c r="O127" s="1660"/>
      <c r="P127" s="1660"/>
      <c r="Q127" s="1661"/>
    </row>
    <row r="128" spans="3:17">
      <c r="N128" s="1659"/>
      <c r="O128" s="1660"/>
      <c r="P128" s="1660"/>
      <c r="Q128" s="1661"/>
    </row>
    <row r="129" spans="2:17">
      <c r="N129" s="1659"/>
      <c r="O129" s="1660"/>
      <c r="P129" s="1660"/>
      <c r="Q129" s="1661"/>
    </row>
    <row r="130" spans="2:17">
      <c r="N130" s="1659"/>
      <c r="O130" s="1660"/>
      <c r="P130" s="1660"/>
      <c r="Q130" s="1661"/>
    </row>
    <row r="131" spans="2:17">
      <c r="N131" s="1659"/>
      <c r="O131" s="1660"/>
      <c r="P131" s="1660"/>
      <c r="Q131" s="1661"/>
    </row>
    <row r="132" spans="2:17">
      <c r="H132" s="25"/>
      <c r="I132" s="25" t="s">
        <v>483</v>
      </c>
      <c r="J132" s="25" t="s">
        <v>484</v>
      </c>
      <c r="N132" s="1659"/>
      <c r="O132" s="1660"/>
      <c r="P132" s="1660"/>
      <c r="Q132" s="1661"/>
    </row>
    <row r="133" spans="2:17">
      <c r="H133" s="25" t="s">
        <v>485</v>
      </c>
      <c r="I133" s="343">
        <v>3000000</v>
      </c>
      <c r="J133" s="134">
        <v>0.08</v>
      </c>
      <c r="N133" s="1659"/>
      <c r="O133" s="1660"/>
      <c r="P133" s="1660"/>
      <c r="Q133" s="1661"/>
    </row>
    <row r="134" spans="2:17">
      <c r="H134" s="25" t="s">
        <v>486</v>
      </c>
      <c r="I134" s="343">
        <v>3400000</v>
      </c>
      <c r="J134" s="134">
        <v>0</v>
      </c>
      <c r="N134" s="1659"/>
      <c r="O134" s="1660"/>
      <c r="P134" s="1660"/>
      <c r="Q134" s="1661"/>
    </row>
    <row r="135" spans="2:17">
      <c r="H135" s="25" t="s">
        <v>487</v>
      </c>
      <c r="I135" s="343">
        <v>0</v>
      </c>
      <c r="J135" s="134">
        <v>0</v>
      </c>
      <c r="N135" s="1659"/>
      <c r="O135" s="1660"/>
      <c r="P135" s="1660"/>
      <c r="Q135" s="1661"/>
    </row>
    <row r="136" spans="2:17">
      <c r="H136" s="271" t="s">
        <v>150</v>
      </c>
      <c r="I136" s="344">
        <f>(I133*J133+I134*J134+I135*J135)/SUM(I133:I135)</f>
        <v>3.7499999999999999E-2</v>
      </c>
      <c r="J136" s="25"/>
      <c r="K136">
        <f>I133*J133/(I133+I134)</f>
        <v>3.7499999999999999E-2</v>
      </c>
      <c r="N136" s="1659"/>
      <c r="O136" s="1660"/>
      <c r="P136" s="1660"/>
      <c r="Q136" s="1661"/>
    </row>
    <row r="137" spans="2:17">
      <c r="N137" s="1659"/>
      <c r="O137" s="1660"/>
      <c r="P137" s="1660"/>
      <c r="Q137" s="1661"/>
    </row>
    <row r="138" spans="2:17" ht="15">
      <c r="H138" s="345" t="s">
        <v>488</v>
      </c>
      <c r="I138" s="346">
        <v>0.2</v>
      </c>
      <c r="J138" t="s">
        <v>498</v>
      </c>
      <c r="N138" s="1659"/>
      <c r="O138" s="1660"/>
      <c r="P138" s="1660"/>
      <c r="Q138" s="1661"/>
    </row>
    <row r="139" spans="2:17" ht="15">
      <c r="H139" s="345" t="s">
        <v>489</v>
      </c>
      <c r="I139" s="346">
        <v>0.7</v>
      </c>
      <c r="J139" s="347" t="s">
        <v>490</v>
      </c>
      <c r="N139" s="1659"/>
      <c r="O139" s="1660"/>
      <c r="P139" s="1660"/>
      <c r="Q139" s="1661"/>
    </row>
    <row r="140" spans="2:17" ht="15">
      <c r="H140" s="345" t="s">
        <v>491</v>
      </c>
      <c r="I140" s="346">
        <v>0.3</v>
      </c>
      <c r="J140" s="347" t="s">
        <v>492</v>
      </c>
      <c r="N140" s="1659"/>
      <c r="O140" s="1660"/>
      <c r="P140" s="1660"/>
      <c r="Q140" s="1661"/>
    </row>
    <row r="141" spans="2:17" ht="15.75" thickBot="1">
      <c r="H141" s="345" t="s">
        <v>493</v>
      </c>
      <c r="I141" s="346">
        <f>I136</f>
        <v>3.7499999999999999E-2</v>
      </c>
      <c r="J141" t="s">
        <v>494</v>
      </c>
      <c r="N141" s="1659"/>
      <c r="O141" s="1660"/>
      <c r="P141" s="1660"/>
      <c r="Q141" s="1661"/>
    </row>
    <row r="142" spans="2:17" ht="15">
      <c r="B142" s="40" t="s">
        <v>140</v>
      </c>
      <c r="C142" s="285">
        <f>(C150*C144)+C149*C151*(1-C148)</f>
        <v>0.12472800000000001</v>
      </c>
      <c r="D142" s="351" t="s">
        <v>563</v>
      </c>
      <c r="H142" s="345" t="s">
        <v>495</v>
      </c>
      <c r="I142" s="346">
        <v>0.1</v>
      </c>
      <c r="J142" t="s">
        <v>496</v>
      </c>
      <c r="N142" s="1659"/>
      <c r="O142" s="1660"/>
      <c r="P142" s="1660"/>
      <c r="Q142" s="1661"/>
    </row>
    <row r="143" spans="2:17" ht="15.75" thickBot="1">
      <c r="B143" s="42" t="s">
        <v>141</v>
      </c>
      <c r="C143" s="43" t="s">
        <v>142</v>
      </c>
      <c r="N143" s="1659"/>
      <c r="O143" s="1660"/>
      <c r="P143" s="1660"/>
      <c r="Q143" s="1661"/>
    </row>
    <row r="144" spans="2:17" ht="15.75" thickBot="1">
      <c r="B144" s="44" t="s">
        <v>143</v>
      </c>
      <c r="C144" s="45">
        <v>0.124</v>
      </c>
      <c r="H144" s="348" t="s">
        <v>497</v>
      </c>
      <c r="I144" s="349">
        <f>I138*I139+I141*I140*(1-I142)</f>
        <v>0.15012499999999998</v>
      </c>
      <c r="N144" s="1659"/>
      <c r="O144" s="1660"/>
      <c r="P144" s="1660"/>
      <c r="Q144" s="1661"/>
    </row>
    <row r="145" spans="2:20" ht="15.75" thickBot="1">
      <c r="B145" s="44" t="s">
        <v>144</v>
      </c>
      <c r="C145" s="46">
        <v>0.04</v>
      </c>
      <c r="D145" s="4"/>
      <c r="N145" s="1662"/>
      <c r="O145" s="1663"/>
      <c r="P145" s="1663"/>
      <c r="Q145" s="1664"/>
    </row>
    <row r="146" spans="2:20" ht="18">
      <c r="B146" s="47" t="s">
        <v>7</v>
      </c>
      <c r="C146" s="48">
        <v>1.4</v>
      </c>
      <c r="J146" s="350" t="s">
        <v>502</v>
      </c>
    </row>
    <row r="147" spans="2:20" ht="18">
      <c r="B147" s="47" t="s">
        <v>146</v>
      </c>
      <c r="C147" s="49">
        <v>0.1</v>
      </c>
      <c r="D147" s="4"/>
      <c r="J147" s="350" t="s">
        <v>499</v>
      </c>
    </row>
    <row r="148" spans="2:20" ht="18">
      <c r="B148" s="47" t="s">
        <v>148</v>
      </c>
      <c r="C148" s="49">
        <v>0.1</v>
      </c>
      <c r="D148" s="4"/>
      <c r="J148" s="350" t="s">
        <v>500</v>
      </c>
    </row>
    <row r="149" spans="2:20" ht="18">
      <c r="B149" s="47" t="s">
        <v>150</v>
      </c>
      <c r="C149" s="49">
        <v>0.13980000000000001</v>
      </c>
      <c r="D149" s="4"/>
      <c r="J149" s="350" t="s">
        <v>501</v>
      </c>
    </row>
    <row r="150" spans="2:20">
      <c r="B150" s="47" t="s">
        <v>152</v>
      </c>
      <c r="C150" s="49">
        <v>0.6</v>
      </c>
      <c r="D150" s="4" t="s">
        <v>504</v>
      </c>
      <c r="E150" s="4"/>
      <c r="F150" s="4"/>
    </row>
    <row r="151" spans="2:20" ht="13.5" thickBot="1">
      <c r="B151" s="50" t="s">
        <v>154</v>
      </c>
      <c r="C151" s="51">
        <v>0.4</v>
      </c>
      <c r="D151" s="4" t="s">
        <v>503</v>
      </c>
      <c r="E151" s="4"/>
      <c r="F151" s="4"/>
    </row>
    <row r="155" spans="2:20" ht="0.75" customHeight="1"/>
    <row r="156" spans="2:20" ht="30" customHeight="1" thickBot="1">
      <c r="B156" s="1651" t="s">
        <v>564</v>
      </c>
      <c r="C156" s="1651"/>
    </row>
    <row r="157" spans="2:20" ht="15">
      <c r="B157" s="393" t="s">
        <v>141</v>
      </c>
      <c r="C157" s="386" t="s">
        <v>142</v>
      </c>
    </row>
    <row r="158" spans="2:20" ht="14.25">
      <c r="B158" s="394" t="s">
        <v>143</v>
      </c>
      <c r="C158" s="387">
        <f>0.2+0.05+0.015</f>
        <v>0.26500000000000001</v>
      </c>
      <c r="D158" s="351" t="s">
        <v>568</v>
      </c>
      <c r="E158" s="351" t="s">
        <v>569</v>
      </c>
    </row>
    <row r="159" spans="2:20" ht="15.75" thickBot="1">
      <c r="B159" s="395" t="s">
        <v>144</v>
      </c>
      <c r="C159" s="388">
        <v>0.03</v>
      </c>
    </row>
    <row r="160" spans="2:20" ht="15" thickBot="1">
      <c r="B160" s="396" t="s">
        <v>7</v>
      </c>
      <c r="C160" s="389">
        <v>0</v>
      </c>
      <c r="F160" s="1671"/>
      <c r="G160" s="1611"/>
      <c r="H160" s="306"/>
      <c r="I160" s="1672" t="s">
        <v>451</v>
      </c>
      <c r="J160" s="1673"/>
      <c r="K160" s="1673"/>
      <c r="L160" s="1673"/>
      <c r="M160" s="1673"/>
      <c r="N160" s="1673"/>
      <c r="O160" s="1673"/>
      <c r="P160" s="1673"/>
      <c r="Q160" s="1673"/>
      <c r="R160" s="1673"/>
      <c r="S160" s="1673"/>
      <c r="T160" s="1632"/>
    </row>
    <row r="161" spans="2:20" ht="15" thickBot="1">
      <c r="B161" s="396" t="s">
        <v>146</v>
      </c>
      <c r="C161" s="389">
        <v>0.05</v>
      </c>
      <c r="F161" s="1611"/>
      <c r="G161" s="1611"/>
      <c r="H161" s="306"/>
      <c r="I161" s="307" t="s">
        <v>452</v>
      </c>
      <c r="J161" s="308" t="s">
        <v>453</v>
      </c>
      <c r="K161" s="308" t="s">
        <v>454</v>
      </c>
      <c r="L161" s="308" t="s">
        <v>455</v>
      </c>
      <c r="M161" s="308" t="s">
        <v>456</v>
      </c>
      <c r="N161" s="308" t="s">
        <v>457</v>
      </c>
      <c r="O161" s="308" t="s">
        <v>458</v>
      </c>
      <c r="P161" s="308" t="s">
        <v>459</v>
      </c>
      <c r="Q161" s="308" t="s">
        <v>460</v>
      </c>
      <c r="R161" s="308" t="s">
        <v>461</v>
      </c>
      <c r="S161" s="308" t="s">
        <v>462</v>
      </c>
      <c r="T161" s="309" t="s">
        <v>463</v>
      </c>
    </row>
    <row r="162" spans="2:20" ht="14.25">
      <c r="B162" s="396" t="s">
        <v>565</v>
      </c>
      <c r="C162" s="389">
        <v>0</v>
      </c>
      <c r="F162" s="1674" t="s">
        <v>48</v>
      </c>
      <c r="G162" s="310" t="s">
        <v>40</v>
      </c>
      <c r="H162" s="311" t="s">
        <v>464</v>
      </c>
      <c r="I162" s="312"/>
      <c r="J162" s="313">
        <f>(E91/12)*0.6</f>
        <v>199999.99999999997</v>
      </c>
      <c r="K162" s="313">
        <f>J162</f>
        <v>199999.99999999997</v>
      </c>
      <c r="L162" s="313">
        <f t="shared" ref="L162:T163" si="0">K162</f>
        <v>199999.99999999997</v>
      </c>
      <c r="M162" s="313">
        <f t="shared" si="0"/>
        <v>199999.99999999997</v>
      </c>
      <c r="N162" s="313">
        <f t="shared" si="0"/>
        <v>199999.99999999997</v>
      </c>
      <c r="O162" s="313">
        <f t="shared" si="0"/>
        <v>199999.99999999997</v>
      </c>
      <c r="P162" s="313">
        <f t="shared" si="0"/>
        <v>199999.99999999997</v>
      </c>
      <c r="Q162" s="313">
        <f t="shared" si="0"/>
        <v>199999.99999999997</v>
      </c>
      <c r="R162" s="313">
        <f t="shared" si="0"/>
        <v>199999.99999999997</v>
      </c>
      <c r="S162" s="313">
        <f t="shared" si="0"/>
        <v>199999.99999999997</v>
      </c>
      <c r="T162" s="313">
        <f t="shared" si="0"/>
        <v>199999.99999999997</v>
      </c>
    </row>
    <row r="163" spans="2:20" ht="14.25">
      <c r="B163" s="394" t="s">
        <v>566</v>
      </c>
      <c r="C163" s="390">
        <f>C161-C159</f>
        <v>2.0000000000000004E-2</v>
      </c>
      <c r="F163" s="1675"/>
      <c r="G163" s="314" t="s">
        <v>40</v>
      </c>
      <c r="H163" s="315" t="s">
        <v>465</v>
      </c>
      <c r="I163" s="316"/>
      <c r="J163" s="317"/>
      <c r="K163" s="317">
        <f>(E91/12)*0.4</f>
        <v>133333.33333333334</v>
      </c>
      <c r="L163" s="317">
        <f>K163</f>
        <v>133333.33333333334</v>
      </c>
      <c r="M163" s="317">
        <f t="shared" si="0"/>
        <v>133333.33333333334</v>
      </c>
      <c r="N163" s="317">
        <f t="shared" si="0"/>
        <v>133333.33333333334</v>
      </c>
      <c r="O163" s="317">
        <f t="shared" si="0"/>
        <v>133333.33333333334</v>
      </c>
      <c r="P163" s="317">
        <f t="shared" si="0"/>
        <v>133333.33333333334</v>
      </c>
      <c r="Q163" s="317">
        <f t="shared" si="0"/>
        <v>133333.33333333334</v>
      </c>
      <c r="R163" s="317">
        <f t="shared" si="0"/>
        <v>133333.33333333334</v>
      </c>
      <c r="S163" s="317">
        <f t="shared" si="0"/>
        <v>133333.33333333334</v>
      </c>
      <c r="T163" s="317">
        <f t="shared" si="0"/>
        <v>133333.33333333334</v>
      </c>
    </row>
    <row r="164" spans="2:20" ht="14.25">
      <c r="B164" s="396" t="s">
        <v>148</v>
      </c>
      <c r="C164" s="389">
        <v>0.1</v>
      </c>
      <c r="F164" s="1675"/>
      <c r="G164" s="314"/>
      <c r="H164" s="315"/>
      <c r="I164" s="316"/>
      <c r="J164" s="318"/>
      <c r="K164" s="318"/>
      <c r="L164" s="318"/>
      <c r="M164" s="318"/>
      <c r="N164" s="318"/>
      <c r="O164" s="318"/>
      <c r="P164" s="318"/>
      <c r="Q164" s="318"/>
      <c r="R164" s="318"/>
      <c r="S164" s="318"/>
      <c r="T164" s="319"/>
    </row>
    <row r="165" spans="2:20" ht="15" thickBot="1">
      <c r="B165" s="396" t="s">
        <v>150</v>
      </c>
      <c r="C165" s="391">
        <v>3.7499999999999999E-2</v>
      </c>
      <c r="F165" s="1676"/>
      <c r="G165" s="320"/>
      <c r="H165" s="321"/>
      <c r="I165" s="322"/>
      <c r="J165" s="323"/>
      <c r="K165" s="323"/>
      <c r="L165" s="323"/>
      <c r="M165" s="323"/>
      <c r="N165" s="323"/>
      <c r="O165" s="323"/>
      <c r="P165" s="323"/>
      <c r="Q165" s="323"/>
      <c r="R165" s="323"/>
      <c r="S165" s="323"/>
      <c r="T165" s="324"/>
    </row>
    <row r="166" spans="2:20" ht="14.25">
      <c r="B166" s="396" t="s">
        <v>152</v>
      </c>
      <c r="C166" s="389">
        <f>C167*2.33</f>
        <v>0.6996996996996997</v>
      </c>
      <c r="F166" s="1674" t="s">
        <v>466</v>
      </c>
      <c r="G166" s="310" t="s">
        <v>467</v>
      </c>
      <c r="H166" s="325" t="s">
        <v>468</v>
      </c>
      <c r="I166" s="312">
        <f>-$G$176*2</f>
        <v>-66666.666666666672</v>
      </c>
      <c r="J166" s="312">
        <f t="shared" ref="J166:T166" si="1">-$G$176*2</f>
        <v>-66666.666666666672</v>
      </c>
      <c r="K166" s="312">
        <f t="shared" si="1"/>
        <v>-66666.666666666672</v>
      </c>
      <c r="L166" s="312">
        <f t="shared" si="1"/>
        <v>-66666.666666666672</v>
      </c>
      <c r="M166" s="312">
        <f t="shared" si="1"/>
        <v>-66666.666666666672</v>
      </c>
      <c r="N166" s="312">
        <f t="shared" si="1"/>
        <v>-66666.666666666672</v>
      </c>
      <c r="O166" s="312">
        <f>-$G$176*2</f>
        <v>-66666.666666666672</v>
      </c>
      <c r="P166" s="312">
        <f t="shared" si="1"/>
        <v>-66666.666666666672</v>
      </c>
      <c r="Q166" s="312">
        <f t="shared" si="1"/>
        <v>-66666.666666666672</v>
      </c>
      <c r="R166" s="312">
        <f t="shared" si="1"/>
        <v>-66666.666666666672</v>
      </c>
      <c r="S166" s="312">
        <f t="shared" si="1"/>
        <v>-66666.666666666672</v>
      </c>
      <c r="T166" s="312">
        <f t="shared" si="1"/>
        <v>-66666.666666666672</v>
      </c>
    </row>
    <row r="167" spans="2:20" ht="14.25">
      <c r="B167" s="396" t="s">
        <v>154</v>
      </c>
      <c r="C167" s="389">
        <f>1/3.33</f>
        <v>0.3003003003003003</v>
      </c>
      <c r="F167" s="1677"/>
      <c r="G167" s="326" t="s">
        <v>469</v>
      </c>
      <c r="H167" s="306" t="s">
        <v>468</v>
      </c>
      <c r="I167" s="316">
        <f>-$G$176*3.2</f>
        <v>-106666.66666666669</v>
      </c>
      <c r="J167" s="316">
        <f t="shared" ref="J167:T167" si="2">-$G$176*3.2</f>
        <v>-106666.66666666669</v>
      </c>
      <c r="K167" s="316">
        <f t="shared" si="2"/>
        <v>-106666.66666666669</v>
      </c>
      <c r="L167" s="316">
        <f t="shared" si="2"/>
        <v>-106666.66666666669</v>
      </c>
      <c r="M167" s="316">
        <f t="shared" si="2"/>
        <v>-106666.66666666669</v>
      </c>
      <c r="N167" s="316">
        <f t="shared" si="2"/>
        <v>-106666.66666666669</v>
      </c>
      <c r="O167" s="316">
        <f t="shared" si="2"/>
        <v>-106666.66666666669</v>
      </c>
      <c r="P167" s="316">
        <f t="shared" si="2"/>
        <v>-106666.66666666669</v>
      </c>
      <c r="Q167" s="316">
        <f t="shared" si="2"/>
        <v>-106666.66666666669</v>
      </c>
      <c r="R167" s="316">
        <f t="shared" si="2"/>
        <v>-106666.66666666669</v>
      </c>
      <c r="S167" s="316">
        <f t="shared" si="2"/>
        <v>-106666.66666666669</v>
      </c>
      <c r="T167" s="316">
        <f t="shared" si="2"/>
        <v>-106666.66666666669</v>
      </c>
    </row>
    <row r="168" spans="2:20">
      <c r="B168" s="397"/>
      <c r="C168" s="385"/>
      <c r="F168" s="1677"/>
      <c r="G168" s="326" t="s">
        <v>181</v>
      </c>
      <c r="H168" s="306" t="s">
        <v>468</v>
      </c>
      <c r="I168" s="316">
        <f>-$G$176*0.8</f>
        <v>-26666.666666666672</v>
      </c>
      <c r="J168" s="316">
        <f t="shared" ref="J168:T168" si="3">-$G$176*0.8</f>
        <v>-26666.666666666672</v>
      </c>
      <c r="K168" s="316">
        <f t="shared" si="3"/>
        <v>-26666.666666666672</v>
      </c>
      <c r="L168" s="316">
        <f t="shared" si="3"/>
        <v>-26666.666666666672</v>
      </c>
      <c r="M168" s="316">
        <f t="shared" si="3"/>
        <v>-26666.666666666672</v>
      </c>
      <c r="N168" s="316">
        <f t="shared" si="3"/>
        <v>-26666.666666666672</v>
      </c>
      <c r="O168" s="316">
        <f t="shared" si="3"/>
        <v>-26666.666666666672</v>
      </c>
      <c r="P168" s="316">
        <f t="shared" si="3"/>
        <v>-26666.666666666672</v>
      </c>
      <c r="Q168" s="316">
        <f t="shared" si="3"/>
        <v>-26666.666666666672</v>
      </c>
      <c r="R168" s="316">
        <f t="shared" si="3"/>
        <v>-26666.666666666672</v>
      </c>
      <c r="S168" s="316">
        <f t="shared" si="3"/>
        <v>-26666.666666666672</v>
      </c>
      <c r="T168" s="316">
        <f t="shared" si="3"/>
        <v>-26666.666666666672</v>
      </c>
    </row>
    <row r="169" spans="2:20" ht="15" thickBot="1">
      <c r="B169" s="398" t="s">
        <v>140</v>
      </c>
      <c r="C169" s="392">
        <f>(C158*C166)+(C165*C167*(1-C164))</f>
        <v>0.19555555555555557</v>
      </c>
      <c r="F169" s="1677"/>
      <c r="G169" s="326" t="s">
        <v>470</v>
      </c>
      <c r="H169" s="306" t="s">
        <v>468</v>
      </c>
      <c r="I169" s="322">
        <f>-((180000-137000)*1.4*13)/12</f>
        <v>-65216.666666666657</v>
      </c>
      <c r="J169" s="327">
        <f>I169</f>
        <v>-65216.666666666657</v>
      </c>
      <c r="K169" s="327">
        <f t="shared" ref="K169:T169" si="4">J169</f>
        <v>-65216.666666666657</v>
      </c>
      <c r="L169" s="327">
        <f t="shared" si="4"/>
        <v>-65216.666666666657</v>
      </c>
      <c r="M169" s="327">
        <f t="shared" si="4"/>
        <v>-65216.666666666657</v>
      </c>
      <c r="N169" s="327">
        <f t="shared" si="4"/>
        <v>-65216.666666666657</v>
      </c>
      <c r="O169" s="327">
        <f t="shared" si="4"/>
        <v>-65216.666666666657</v>
      </c>
      <c r="P169" s="327">
        <f t="shared" si="4"/>
        <v>-65216.666666666657</v>
      </c>
      <c r="Q169" s="327">
        <f t="shared" si="4"/>
        <v>-65216.666666666657</v>
      </c>
      <c r="R169" s="327">
        <f t="shared" si="4"/>
        <v>-65216.666666666657</v>
      </c>
      <c r="S169" s="327">
        <f t="shared" si="4"/>
        <v>-65216.666666666657</v>
      </c>
      <c r="T169" s="327">
        <f t="shared" si="4"/>
        <v>-65216.666666666657</v>
      </c>
    </row>
    <row r="170" spans="2:20" ht="14.25">
      <c r="B170" s="384"/>
      <c r="C170" s="384"/>
      <c r="F170" s="1677"/>
      <c r="G170" s="377" t="s">
        <v>442</v>
      </c>
      <c r="H170" s="306" t="s">
        <v>468</v>
      </c>
      <c r="I170" s="316"/>
      <c r="J170" s="316">
        <f>-J162*0.015</f>
        <v>-2999.9999999999995</v>
      </c>
      <c r="K170" s="316">
        <f t="shared" ref="K170:T170" si="5">-K162*0.015</f>
        <v>-2999.9999999999995</v>
      </c>
      <c r="L170" s="316">
        <f t="shared" si="5"/>
        <v>-2999.9999999999995</v>
      </c>
      <c r="M170" s="316">
        <f t="shared" si="5"/>
        <v>-2999.9999999999995</v>
      </c>
      <c r="N170" s="316">
        <f t="shared" si="5"/>
        <v>-2999.9999999999995</v>
      </c>
      <c r="O170" s="316">
        <f t="shared" si="5"/>
        <v>-2999.9999999999995</v>
      </c>
      <c r="P170" s="316">
        <f t="shared" si="5"/>
        <v>-2999.9999999999995</v>
      </c>
      <c r="Q170" s="316">
        <f t="shared" si="5"/>
        <v>-2999.9999999999995</v>
      </c>
      <c r="R170" s="316">
        <f t="shared" si="5"/>
        <v>-2999.9999999999995</v>
      </c>
      <c r="S170" s="316">
        <f t="shared" si="5"/>
        <v>-2999.9999999999995</v>
      </c>
      <c r="T170" s="316">
        <f t="shared" si="5"/>
        <v>-2999.9999999999995</v>
      </c>
    </row>
    <row r="171" spans="2:20" ht="15" thickBot="1">
      <c r="B171" s="383" t="s">
        <v>567</v>
      </c>
      <c r="C171" s="384"/>
      <c r="F171" s="1677"/>
      <c r="G171" s="377" t="s">
        <v>471</v>
      </c>
      <c r="H171" s="306" t="s">
        <v>468</v>
      </c>
      <c r="I171" s="328"/>
      <c r="J171" s="328">
        <f>-J162*0.05</f>
        <v>-10000</v>
      </c>
      <c r="K171" s="328">
        <f t="shared" ref="K171:T171" si="6">-K162*0.05</f>
        <v>-10000</v>
      </c>
      <c r="L171" s="328">
        <f t="shared" si="6"/>
        <v>-10000</v>
      </c>
      <c r="M171" s="328">
        <f t="shared" si="6"/>
        <v>-10000</v>
      </c>
      <c r="N171" s="328">
        <f t="shared" si="6"/>
        <v>-10000</v>
      </c>
      <c r="O171" s="328">
        <f t="shared" si="6"/>
        <v>-10000</v>
      </c>
      <c r="P171" s="328">
        <f t="shared" si="6"/>
        <v>-10000</v>
      </c>
      <c r="Q171" s="328">
        <f t="shared" si="6"/>
        <v>-10000</v>
      </c>
      <c r="R171" s="328">
        <f t="shared" si="6"/>
        <v>-10000</v>
      </c>
      <c r="S171" s="328">
        <f t="shared" si="6"/>
        <v>-10000</v>
      </c>
      <c r="T171" s="328">
        <f t="shared" si="6"/>
        <v>-10000</v>
      </c>
    </row>
    <row r="172" spans="2:20" ht="15.75" thickBot="1">
      <c r="F172" s="1678" t="s">
        <v>176</v>
      </c>
      <c r="G172" s="1679"/>
      <c r="H172" s="1680"/>
      <c r="I172" s="329">
        <f t="shared" ref="I172:T172" si="7">SUM(I162:I171)</f>
        <v>-265216.66666666674</v>
      </c>
      <c r="J172" s="330">
        <f t="shared" si="7"/>
        <v>-78216.666666666701</v>
      </c>
      <c r="K172" s="330">
        <f t="shared" si="7"/>
        <v>55116.666666666599</v>
      </c>
      <c r="L172" s="330">
        <f t="shared" si="7"/>
        <v>55116.666666666599</v>
      </c>
      <c r="M172" s="330">
        <f t="shared" si="7"/>
        <v>55116.666666666599</v>
      </c>
      <c r="N172" s="330">
        <f t="shared" si="7"/>
        <v>55116.666666666599</v>
      </c>
      <c r="O172" s="330">
        <f t="shared" si="7"/>
        <v>55116.666666666599</v>
      </c>
      <c r="P172" s="330">
        <f t="shared" si="7"/>
        <v>55116.666666666599</v>
      </c>
      <c r="Q172" s="330">
        <f t="shared" si="7"/>
        <v>55116.666666666599</v>
      </c>
      <c r="R172" s="330">
        <f t="shared" si="7"/>
        <v>55116.666666666599</v>
      </c>
      <c r="S172" s="330">
        <f t="shared" si="7"/>
        <v>55116.666666666599</v>
      </c>
      <c r="T172" s="331">
        <f t="shared" si="7"/>
        <v>55116.666666666599</v>
      </c>
    </row>
    <row r="173" spans="2:20" ht="13.5" thickBot="1">
      <c r="B173">
        <v>3</v>
      </c>
      <c r="C173" s="351" t="s">
        <v>570</v>
      </c>
      <c r="F173" s="1686" t="s">
        <v>472</v>
      </c>
      <c r="G173" s="1687"/>
      <c r="H173" s="1687"/>
      <c r="I173" s="332">
        <f>I172</f>
        <v>-265216.66666666674</v>
      </c>
      <c r="J173" s="340">
        <f>I173+J172</f>
        <v>-343433.33333333343</v>
      </c>
      <c r="K173" s="333">
        <f t="shared" ref="K173:T173" si="8">J173+K172</f>
        <v>-288316.66666666686</v>
      </c>
      <c r="L173" s="333">
        <f t="shared" si="8"/>
        <v>-233200.00000000026</v>
      </c>
      <c r="M173" s="333">
        <f t="shared" si="8"/>
        <v>-178083.33333333366</v>
      </c>
      <c r="N173" s="333">
        <f t="shared" si="8"/>
        <v>-122966.66666666706</v>
      </c>
      <c r="O173" s="333">
        <f t="shared" si="8"/>
        <v>-67850.000000000466</v>
      </c>
      <c r="P173" s="333">
        <f t="shared" si="8"/>
        <v>-12733.333333333867</v>
      </c>
      <c r="Q173" s="333">
        <f t="shared" si="8"/>
        <v>42383.333333332732</v>
      </c>
      <c r="R173" s="333">
        <f t="shared" si="8"/>
        <v>97499.999999999331</v>
      </c>
      <c r="S173" s="333">
        <f t="shared" si="8"/>
        <v>152616.66666666593</v>
      </c>
      <c r="T173" s="334">
        <f t="shared" si="8"/>
        <v>207733.33333333253</v>
      </c>
    </row>
    <row r="174" spans="2:20" ht="13.5" thickBot="1">
      <c r="F174" s="1668" t="s">
        <v>473</v>
      </c>
      <c r="G174" s="1669"/>
      <c r="H174" s="1670"/>
      <c r="I174" s="341">
        <f>MIN(I173:T173)</f>
        <v>-343433.33333333343</v>
      </c>
      <c r="J174" s="335" t="s">
        <v>480</v>
      </c>
      <c r="K174" s="335"/>
      <c r="L174" s="335"/>
      <c r="M174" s="335"/>
      <c r="N174" s="335"/>
      <c r="O174" s="335"/>
      <c r="P174" s="335"/>
      <c r="Q174" s="335"/>
      <c r="R174" s="335"/>
      <c r="S174" s="335"/>
      <c r="T174" s="335"/>
    </row>
    <row r="175" spans="2:20" ht="13.5" thickBot="1"/>
    <row r="176" spans="2:20" ht="15" customHeight="1">
      <c r="F176" s="336" t="s">
        <v>477</v>
      </c>
      <c r="G176" s="337">
        <f>E88/12</f>
        <v>33333.333333333336</v>
      </c>
      <c r="J176" s="1645" t="s">
        <v>560</v>
      </c>
      <c r="K176" s="1646"/>
    </row>
    <row r="177" spans="6:15" ht="15">
      <c r="F177" s="336" t="s">
        <v>474</v>
      </c>
      <c r="G177" s="337">
        <f>-180000-180000*0.4</f>
        <v>-252000</v>
      </c>
      <c r="H177" t="s">
        <v>479</v>
      </c>
      <c r="J177" s="1647"/>
      <c r="K177" s="1648"/>
    </row>
    <row r="178" spans="6:15" ht="15">
      <c r="F178" s="336" t="s">
        <v>475</v>
      </c>
      <c r="G178" s="337">
        <f>-(0.015*E91)/12</f>
        <v>-5000</v>
      </c>
      <c r="J178" s="1647"/>
      <c r="K178" s="1648"/>
    </row>
    <row r="179" spans="6:15" ht="15.75" thickBot="1">
      <c r="F179" s="336" t="s">
        <v>476</v>
      </c>
      <c r="G179" s="337">
        <f>-(0.05*E91)/12</f>
        <v>-16666.666666666668</v>
      </c>
      <c r="J179" s="1649"/>
      <c r="K179" s="1650"/>
    </row>
    <row r="180" spans="6:15" ht="39" customHeight="1">
      <c r="H180" s="379" t="s">
        <v>561</v>
      </c>
      <c r="I180" s="380">
        <f>MIN(I173:T173)*-1</f>
        <v>343433.33333333343</v>
      </c>
      <c r="J180" s="1655" t="s">
        <v>482</v>
      </c>
      <c r="K180" s="1655"/>
      <c r="L180" s="1655"/>
      <c r="M180" s="1655"/>
      <c r="N180" s="1655"/>
      <c r="O180" s="1655"/>
    </row>
    <row r="181" spans="6:15" ht="13.5" thickBot="1"/>
    <row r="182" spans="6:15" ht="45">
      <c r="F182" s="644" t="s">
        <v>700</v>
      </c>
      <c r="G182" s="645"/>
      <c r="H182" s="646" t="s">
        <v>177</v>
      </c>
      <c r="I182" s="646" t="s">
        <v>237</v>
      </c>
      <c r="J182" s="646" t="s">
        <v>670</v>
      </c>
      <c r="K182" s="647" t="s">
        <v>671</v>
      </c>
    </row>
    <row r="183" spans="6:15" ht="15">
      <c r="F183" s="648" t="s">
        <v>818</v>
      </c>
      <c r="G183" s="649"/>
      <c r="H183" s="650">
        <v>0</v>
      </c>
      <c r="I183" s="650">
        <f>+H183</f>
        <v>0</v>
      </c>
      <c r="J183" s="651">
        <v>0</v>
      </c>
      <c r="K183" s="652">
        <f>-I180</f>
        <v>-343433.33333333343</v>
      </c>
    </row>
    <row r="184" spans="6:15" ht="15">
      <c r="F184" s="648" t="s">
        <v>451</v>
      </c>
      <c r="G184" s="649"/>
      <c r="H184" s="650">
        <f>E88</f>
        <v>400000</v>
      </c>
      <c r="I184" s="653">
        <v>0</v>
      </c>
      <c r="J184" s="643">
        <f>+K183</f>
        <v>-343433.33333333343</v>
      </c>
      <c r="K184" s="654">
        <f>+J184*I185</f>
        <v>-51514.999999999985</v>
      </c>
    </row>
    <row r="185" spans="6:15" ht="15">
      <c r="F185" s="648" t="s">
        <v>632</v>
      </c>
      <c r="G185" s="649"/>
      <c r="H185" s="650">
        <f>F88</f>
        <v>459999.99999999994</v>
      </c>
      <c r="I185" s="653">
        <f>+H185/H184-1</f>
        <v>0.14999999999999991</v>
      </c>
      <c r="J185" s="655">
        <f>+J184+K184</f>
        <v>-394948.33333333343</v>
      </c>
      <c r="K185" s="654">
        <f>+I186*J185</f>
        <v>-39494.833333333379</v>
      </c>
    </row>
    <row r="186" spans="6:15" ht="15">
      <c r="F186" s="648" t="s">
        <v>793</v>
      </c>
      <c r="G186" s="649"/>
      <c r="H186" s="650">
        <f>G88</f>
        <v>506000</v>
      </c>
      <c r="I186" s="653">
        <f>+H186/H185-1</f>
        <v>0.10000000000000009</v>
      </c>
      <c r="J186" s="655">
        <f>+J185+K185</f>
        <v>-434443.1666666668</v>
      </c>
      <c r="K186" s="654">
        <f>+I187*J186</f>
        <v>-21722.158333333358</v>
      </c>
    </row>
    <row r="187" spans="6:15" ht="15">
      <c r="F187" s="648" t="s">
        <v>794</v>
      </c>
      <c r="G187" s="649"/>
      <c r="H187" s="650">
        <f>H88</f>
        <v>531300</v>
      </c>
      <c r="I187" s="653">
        <f>+H187/H186-1</f>
        <v>5.0000000000000044E-2</v>
      </c>
      <c r="J187" s="655">
        <f>+J186+K186</f>
        <v>-456165.32500000019</v>
      </c>
      <c r="K187" s="654">
        <f>+I188*J187</f>
        <v>-22808.26625000003</v>
      </c>
    </row>
    <row r="188" spans="6:15" ht="15.75" thickBot="1">
      <c r="F188" s="656" t="s">
        <v>795</v>
      </c>
      <c r="G188" s="657"/>
      <c r="H188" s="658">
        <f>I88</f>
        <v>557865</v>
      </c>
      <c r="I188" s="659">
        <f>+H188/H187-1</f>
        <v>5.0000000000000044E-2</v>
      </c>
      <c r="J188" s="660">
        <f>+J187+K187</f>
        <v>-478973.59125000023</v>
      </c>
      <c r="K188" s="661">
        <f>+I189*J188</f>
        <v>0</v>
      </c>
    </row>
    <row r="195" spans="1:1" s="374" customFormat="1">
      <c r="A195" s="1643" t="s">
        <v>559</v>
      </c>
    </row>
    <row r="196" spans="1:1" s="374" customFormat="1">
      <c r="A196" s="1643"/>
    </row>
    <row r="197" spans="1:1" s="374" customFormat="1">
      <c r="A197" s="1643"/>
    </row>
  </sheetData>
  <mergeCells count="28">
    <mergeCell ref="J29:N29"/>
    <mergeCell ref="H29:I34"/>
    <mergeCell ref="G87:I87"/>
    <mergeCell ref="P29:T29"/>
    <mergeCell ref="F173:H173"/>
    <mergeCell ref="F174:H174"/>
    <mergeCell ref="J100:O100"/>
    <mergeCell ref="F160:G161"/>
    <mergeCell ref="I160:T160"/>
    <mergeCell ref="F162:F165"/>
    <mergeCell ref="F166:F171"/>
    <mergeCell ref="F172:H172"/>
    <mergeCell ref="A195:A197"/>
    <mergeCell ref="U1:U2"/>
    <mergeCell ref="J176:K179"/>
    <mergeCell ref="B156:C156"/>
    <mergeCell ref="J118:N118"/>
    <mergeCell ref="C124:M124"/>
    <mergeCell ref="J180:O180"/>
    <mergeCell ref="N125:Q145"/>
    <mergeCell ref="J101:O101"/>
    <mergeCell ref="C100:C101"/>
    <mergeCell ref="E100:E101"/>
    <mergeCell ref="F100:F101"/>
    <mergeCell ref="G100:G101"/>
    <mergeCell ref="H100:H101"/>
    <mergeCell ref="I100:I101"/>
    <mergeCell ref="D100:D101"/>
  </mergeCells>
  <pageMargins left="0.7" right="0.7" top="0.75" bottom="0.75" header="0.3" footer="0.3"/>
  <pageSetup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CF8AC-8C17-4809-8A3A-16AC6D943FD7}">
  <dimension ref="A1:U197"/>
  <sheetViews>
    <sheetView topLeftCell="A136" workbookViewId="0">
      <selection activeCell="C144" sqref="C144"/>
    </sheetView>
  </sheetViews>
  <sheetFormatPr defaultRowHeight="12.75"/>
  <cols>
    <col min="3" max="3" width="35.42578125" bestFit="1" customWidth="1"/>
    <col min="4" max="4" width="37.28515625" bestFit="1" customWidth="1"/>
    <col min="5" max="5" width="15" bestFit="1" customWidth="1"/>
    <col min="6" max="6" width="33.85546875" customWidth="1"/>
    <col min="7" max="7" width="18.85546875" customWidth="1"/>
    <col min="8" max="8" width="18.5703125" customWidth="1"/>
    <col min="9" max="9" width="16.42578125" customWidth="1"/>
    <col min="10" max="10" width="20.7109375" customWidth="1"/>
    <col min="11" max="11" width="13.5703125" bestFit="1" customWidth="1"/>
    <col min="12" max="12" width="10.7109375" bestFit="1" customWidth="1"/>
    <col min="13" max="13" width="17.85546875" bestFit="1" customWidth="1"/>
    <col min="14" max="14" width="11.7109375" bestFit="1" customWidth="1"/>
    <col min="15" max="15" width="35.42578125" bestFit="1" customWidth="1"/>
    <col min="16" max="16" width="15.140625" bestFit="1" customWidth="1"/>
    <col min="17" max="18" width="12.28515625" bestFit="1" customWidth="1"/>
    <col min="19" max="19" width="12" customWidth="1"/>
    <col min="20" max="20" width="13.42578125" bestFit="1" customWidth="1"/>
    <col min="21" max="21" width="12.28515625" style="374" bestFit="1" customWidth="1"/>
    <col min="22" max="22" width="13.42578125" bestFit="1" customWidth="1"/>
  </cols>
  <sheetData>
    <row r="1" spans="21:21">
      <c r="U1" s="1644" t="s">
        <v>558</v>
      </c>
    </row>
    <row r="2" spans="21:21">
      <c r="U2" s="1643"/>
    </row>
    <row r="17" spans="8:20">
      <c r="K17" t="s">
        <v>423</v>
      </c>
    </row>
    <row r="18" spans="8:20">
      <c r="J18" t="s">
        <v>424</v>
      </c>
      <c r="K18">
        <v>500000</v>
      </c>
    </row>
    <row r="20" spans="8:20">
      <c r="J20" t="s">
        <v>0</v>
      </c>
      <c r="K20" s="208">
        <v>0.12</v>
      </c>
      <c r="M20" s="303" t="s">
        <v>556</v>
      </c>
    </row>
    <row r="21" spans="8:20">
      <c r="J21" t="s">
        <v>425</v>
      </c>
      <c r="K21">
        <v>60</v>
      </c>
      <c r="M21" s="303">
        <f>K22/K21</f>
        <v>6</v>
      </c>
    </row>
    <row r="22" spans="8:20">
      <c r="J22" t="s">
        <v>555</v>
      </c>
      <c r="K22">
        <v>360</v>
      </c>
    </row>
    <row r="23" spans="8:20">
      <c r="J23" t="s">
        <v>426</v>
      </c>
      <c r="K23" s="302">
        <f>((1+(K20/M21))^M21)-1</f>
        <v>0.12616241926400007</v>
      </c>
    </row>
    <row r="24" spans="8:20">
      <c r="J24" t="s">
        <v>557</v>
      </c>
      <c r="K24">
        <v>3</v>
      </c>
    </row>
    <row r="29" spans="8:20">
      <c r="H29" s="1683" t="s">
        <v>551</v>
      </c>
      <c r="I29" s="1684"/>
      <c r="J29" s="1681" t="s">
        <v>108</v>
      </c>
      <c r="K29" s="1682"/>
      <c r="L29" s="1682"/>
      <c r="M29" s="1682"/>
      <c r="N29" s="1682"/>
      <c r="P29" s="1615" t="s">
        <v>103</v>
      </c>
      <c r="Q29" s="1613"/>
      <c r="R29" s="1613"/>
      <c r="S29" s="1613"/>
      <c r="T29" s="1614"/>
    </row>
    <row r="30" spans="8:20">
      <c r="H30" s="1684"/>
      <c r="I30" s="1684"/>
      <c r="J30" s="371" t="s">
        <v>105</v>
      </c>
      <c r="K30" s="371" t="s">
        <v>109</v>
      </c>
      <c r="L30" s="371" t="s">
        <v>102</v>
      </c>
      <c r="M30" s="371" t="s">
        <v>110</v>
      </c>
      <c r="N30" s="371" t="s">
        <v>107</v>
      </c>
      <c r="P30" s="24" t="s">
        <v>105</v>
      </c>
      <c r="Q30" s="24" t="s">
        <v>106</v>
      </c>
      <c r="R30" s="24" t="s">
        <v>102</v>
      </c>
      <c r="S30" s="24" t="s">
        <v>53</v>
      </c>
      <c r="T30" s="24" t="s">
        <v>107</v>
      </c>
    </row>
    <row r="31" spans="8:20">
      <c r="H31" s="1684"/>
      <c r="I31" s="1684"/>
      <c r="J31" s="372">
        <v>0</v>
      </c>
      <c r="K31" s="373"/>
      <c r="L31" s="373"/>
      <c r="M31" s="373"/>
      <c r="N31" s="373">
        <f>K18*0.7</f>
        <v>350000</v>
      </c>
      <c r="P31" s="25">
        <v>0</v>
      </c>
      <c r="Q31" s="26"/>
      <c r="R31" s="26"/>
      <c r="S31" s="26"/>
      <c r="T31" s="26">
        <v>350000</v>
      </c>
    </row>
    <row r="32" spans="8:20">
      <c r="H32" s="1684"/>
      <c r="I32" s="1684"/>
      <c r="J32" s="372">
        <v>1</v>
      </c>
      <c r="K32" s="373">
        <f>L32+M32</f>
        <v>160823.51340906671</v>
      </c>
      <c r="L32" s="373">
        <f>K23*N31</f>
        <v>44156.846742400026</v>
      </c>
      <c r="M32" s="373">
        <f>$N$31/3</f>
        <v>116666.66666666667</v>
      </c>
      <c r="N32" s="373">
        <f>N31-M32</f>
        <v>233333.33333333331</v>
      </c>
      <c r="P32" s="25">
        <v>1</v>
      </c>
      <c r="Q32" s="26">
        <f>$T$31*$K$23/((1-(1+$K$23)^-$K$24))</f>
        <v>147267.72510341924</v>
      </c>
      <c r="R32" s="26">
        <f>T31*$K$23</f>
        <v>44156.846742400026</v>
      </c>
      <c r="S32" s="26">
        <f>Q32-R32</f>
        <v>103110.87836101922</v>
      </c>
      <c r="T32" s="26">
        <f>T31-S32</f>
        <v>246889.12163898078</v>
      </c>
    </row>
    <row r="33" spans="8:20">
      <c r="H33" s="1684"/>
      <c r="I33" s="1684"/>
      <c r="J33" s="372">
        <v>2</v>
      </c>
      <c r="K33" s="373">
        <f>L33+M33</f>
        <v>146104.56449493335</v>
      </c>
      <c r="L33" s="373">
        <f>K23*N32</f>
        <v>29437.897828266679</v>
      </c>
      <c r="M33" s="373">
        <f>$N$31/3</f>
        <v>116666.66666666667</v>
      </c>
      <c r="N33" s="373">
        <f>N32-M33</f>
        <v>116666.66666666664</v>
      </c>
      <c r="P33" s="25">
        <v>2</v>
      </c>
      <c r="Q33" s="26">
        <f>$T$31*$K$23/((1-(1+$K$23)^-$K$24))</f>
        <v>147267.72510341924</v>
      </c>
      <c r="R33" s="26">
        <f>T32*$K$23</f>
        <v>31148.128875937804</v>
      </c>
      <c r="S33" s="26">
        <f>Q33-R33</f>
        <v>116119.59622748144</v>
      </c>
      <c r="T33" s="211">
        <f>T32-S33</f>
        <v>130769.52541149934</v>
      </c>
    </row>
    <row r="34" spans="8:20">
      <c r="H34" s="1684"/>
      <c r="I34" s="1684"/>
      <c r="J34" s="372">
        <v>3</v>
      </c>
      <c r="K34" s="373">
        <f>L34+M34</f>
        <v>131385.61558080002</v>
      </c>
      <c r="L34" s="373">
        <f>K23*N33</f>
        <v>14718.948914133338</v>
      </c>
      <c r="M34" s="373">
        <f>$N$31/3</f>
        <v>116666.66666666667</v>
      </c>
      <c r="N34" s="373">
        <f>N33-M34</f>
        <v>0</v>
      </c>
      <c r="P34" s="25">
        <v>3</v>
      </c>
      <c r="Q34" s="26">
        <f>$T$31*$K$23/((1-(1+$K$23)^-$K$24))</f>
        <v>147267.72510341924</v>
      </c>
      <c r="R34" s="26">
        <f>T33*$K$23</f>
        <v>16498.19969191989</v>
      </c>
      <c r="S34" s="26">
        <f>Q34-R34</f>
        <v>130769.52541149936</v>
      </c>
      <c r="T34" s="211">
        <f>T33-S34</f>
        <v>0</v>
      </c>
    </row>
    <row r="40" spans="8:20">
      <c r="J40" t="s">
        <v>430</v>
      </c>
    </row>
    <row r="41" spans="8:20">
      <c r="J41" t="s">
        <v>431</v>
      </c>
      <c r="K41">
        <v>10</v>
      </c>
    </row>
    <row r="42" spans="8:20">
      <c r="J42" t="s">
        <v>432</v>
      </c>
      <c r="K42">
        <v>6</v>
      </c>
    </row>
    <row r="43" spans="8:20">
      <c r="J43" t="s">
        <v>433</v>
      </c>
    </row>
    <row r="45" spans="8:20">
      <c r="J45" t="s">
        <v>434</v>
      </c>
    </row>
    <row r="46" spans="8:20">
      <c r="J46" t="s">
        <v>435</v>
      </c>
    </row>
    <row r="47" spans="8:20" ht="102">
      <c r="J47" s="258" t="s">
        <v>436</v>
      </c>
    </row>
    <row r="48" spans="8:20">
      <c r="J48" t="s">
        <v>437</v>
      </c>
    </row>
    <row r="49" spans="10:13">
      <c r="J49" t="s">
        <v>438</v>
      </c>
    </row>
    <row r="50" spans="10:13">
      <c r="J50" t="s">
        <v>439</v>
      </c>
    </row>
    <row r="51" spans="10:13">
      <c r="J51" t="s">
        <v>440</v>
      </c>
    </row>
    <row r="56" spans="10:13">
      <c r="J56" t="s">
        <v>444</v>
      </c>
    </row>
    <row r="57" spans="10:13">
      <c r="J57" t="s">
        <v>446</v>
      </c>
    </row>
    <row r="63" spans="10:13">
      <c r="J63" s="259"/>
      <c r="K63" s="259"/>
      <c r="L63" s="259"/>
      <c r="M63" s="259"/>
    </row>
    <row r="75" spans="8:13" ht="13.5" thickBot="1"/>
    <row r="76" spans="8:13" ht="20.25">
      <c r="I76" s="641" t="s">
        <v>820</v>
      </c>
      <c r="J76" s="642"/>
      <c r="K76" s="634"/>
      <c r="L76" s="634"/>
      <c r="M76" s="635"/>
    </row>
    <row r="77" spans="8:13">
      <c r="I77" s="638"/>
      <c r="J77" s="259"/>
      <c r="K77" s="259"/>
      <c r="L77" s="259"/>
      <c r="M77" s="637"/>
    </row>
    <row r="78" spans="8:13">
      <c r="I78" s="638"/>
      <c r="J78" s="259"/>
      <c r="K78" s="663" t="s">
        <v>817</v>
      </c>
      <c r="L78" s="259"/>
      <c r="M78" s="637"/>
    </row>
    <row r="79" spans="8:13">
      <c r="I79" s="636"/>
      <c r="J79" s="259"/>
      <c r="K79" s="666">
        <v>8.8226918044947347</v>
      </c>
      <c r="L79" s="259"/>
      <c r="M79" s="637"/>
    </row>
    <row r="80" spans="8:13">
      <c r="H80" s="351"/>
      <c r="I80" s="636"/>
      <c r="J80" s="259"/>
      <c r="K80" s="259"/>
      <c r="L80" s="259"/>
      <c r="M80" s="637"/>
    </row>
    <row r="81" spans="3:13">
      <c r="H81" s="351"/>
      <c r="I81" s="636"/>
      <c r="J81" s="259"/>
      <c r="K81" s="259"/>
      <c r="L81" s="259"/>
      <c r="M81" s="637"/>
    </row>
    <row r="82" spans="3:13" ht="13.5" thickBot="1">
      <c r="I82" s="639"/>
      <c r="J82" s="640"/>
      <c r="K82" s="640"/>
      <c r="L82" s="640"/>
      <c r="M82" s="363"/>
    </row>
    <row r="83" spans="3:13" ht="13.5" customHeight="1"/>
    <row r="87" spans="3:13">
      <c r="G87" s="1685" t="s">
        <v>553</v>
      </c>
      <c r="H87" s="1685"/>
      <c r="I87" s="1685"/>
    </row>
    <row r="88" spans="3:13">
      <c r="C88" s="272" t="s">
        <v>365</v>
      </c>
      <c r="D88" s="25"/>
      <c r="E88" s="707">
        <v>400000</v>
      </c>
      <c r="F88" s="707">
        <f>E88*1.15</f>
        <v>459999.99999999994</v>
      </c>
      <c r="G88" s="707">
        <f>F88*1.1</f>
        <v>506000</v>
      </c>
      <c r="H88" s="707">
        <f>G88*1.05</f>
        <v>531300</v>
      </c>
      <c r="I88" s="707">
        <f>H88*1.05</f>
        <v>557865</v>
      </c>
    </row>
    <row r="89" spans="3:13">
      <c r="C89" s="27" t="s">
        <v>361</v>
      </c>
      <c r="D89" s="27" t="s">
        <v>112</v>
      </c>
      <c r="E89" s="27" t="s">
        <v>113</v>
      </c>
      <c r="F89" s="27" t="s">
        <v>114</v>
      </c>
      <c r="G89" s="27" t="s">
        <v>115</v>
      </c>
      <c r="H89" s="27" t="s">
        <v>116</v>
      </c>
      <c r="I89" s="27" t="s">
        <v>117</v>
      </c>
    </row>
    <row r="90" spans="3:13">
      <c r="C90" s="269" t="s">
        <v>118</v>
      </c>
      <c r="D90" s="270"/>
      <c r="E90" s="270"/>
      <c r="F90" s="270"/>
      <c r="G90" s="270"/>
      <c r="H90" s="270"/>
      <c r="I90" s="270"/>
    </row>
    <row r="91" spans="3:13">
      <c r="C91" s="25" t="s">
        <v>356</v>
      </c>
      <c r="D91" s="26"/>
      <c r="E91" s="26">
        <f>E88*$K$79</f>
        <v>3529076.7217978938</v>
      </c>
      <c r="F91" s="26">
        <f>F88*$K$79</f>
        <v>4058438.2300675772</v>
      </c>
      <c r="G91" s="26">
        <f>G88*$K$79</f>
        <v>4464282.0530743357</v>
      </c>
      <c r="H91" s="26">
        <f>H88*$K$79</f>
        <v>4687496.1557280524</v>
      </c>
      <c r="I91" s="26">
        <f>I88*$K$79</f>
        <v>4921870.9635144556</v>
      </c>
    </row>
    <row r="92" spans="3:13">
      <c r="C92" s="25" t="s">
        <v>119</v>
      </c>
      <c r="D92" s="26"/>
      <c r="E92" s="26"/>
      <c r="F92" s="26"/>
      <c r="G92" s="26"/>
      <c r="H92" s="26"/>
      <c r="I92" s="26"/>
    </row>
    <row r="93" spans="3:13">
      <c r="C93" s="25" t="s">
        <v>332</v>
      </c>
      <c r="D93" s="26"/>
      <c r="E93" s="26"/>
      <c r="F93" s="26"/>
      <c r="G93" s="26"/>
      <c r="H93" s="26"/>
      <c r="I93" s="26">
        <f>-D117*0.3</f>
        <v>150000</v>
      </c>
    </row>
    <row r="94" spans="3:13">
      <c r="C94" s="25" t="s">
        <v>447</v>
      </c>
      <c r="D94" s="26"/>
      <c r="E94" s="26"/>
      <c r="F94" s="26"/>
      <c r="G94" s="26"/>
      <c r="H94" s="26"/>
      <c r="I94" s="280">
        <f>(100000)*0.3</f>
        <v>30000</v>
      </c>
      <c r="J94" s="351"/>
    </row>
    <row r="95" spans="3:13">
      <c r="C95" s="269" t="s">
        <v>121</v>
      </c>
      <c r="D95" s="270"/>
      <c r="E95" s="270"/>
      <c r="F95" s="270"/>
      <c r="G95" s="270"/>
      <c r="H95" s="270"/>
      <c r="I95" s="270"/>
    </row>
    <row r="96" spans="3:13">
      <c r="C96" s="25" t="s">
        <v>122</v>
      </c>
      <c r="D96" s="26"/>
      <c r="E96" s="26">
        <f>-L32</f>
        <v>-44156.846742400026</v>
      </c>
      <c r="F96" s="26">
        <f>-L33</f>
        <v>-29437.897828266679</v>
      </c>
      <c r="G96" s="26">
        <f>-L34</f>
        <v>-14718.948914133338</v>
      </c>
      <c r="H96" s="26"/>
      <c r="I96" s="26"/>
    </row>
    <row r="97" spans="3:15">
      <c r="C97" s="47" t="s">
        <v>441</v>
      </c>
      <c r="D97" s="26"/>
      <c r="E97" s="26">
        <f>-E91*0.015</f>
        <v>-52936.150826968405</v>
      </c>
      <c r="F97" s="26">
        <f>-F91*0.015</f>
        <v>-60876.573451013654</v>
      </c>
      <c r="G97" s="26">
        <f>-G91*0.015</f>
        <v>-66964.230796115036</v>
      </c>
      <c r="H97" s="26">
        <f>-H91*0.015</f>
        <v>-70312.442335920787</v>
      </c>
      <c r="I97" s="26">
        <f>-I91*0.015</f>
        <v>-73828.064452716833</v>
      </c>
    </row>
    <row r="98" spans="3:15">
      <c r="C98" s="47" t="s">
        <v>442</v>
      </c>
      <c r="D98" s="26"/>
      <c r="E98" s="26">
        <f>-E91*0.05</f>
        <v>-176453.8360898947</v>
      </c>
      <c r="F98" s="26">
        <f>-F91*0.05</f>
        <v>-202921.91150337888</v>
      </c>
      <c r="G98" s="26">
        <f>-G91*0.05</f>
        <v>-223214.10265371681</v>
      </c>
      <c r="H98" s="26">
        <f>-H91*0.05</f>
        <v>-234374.80778640264</v>
      </c>
      <c r="I98" s="26">
        <f>-I91*0.05</f>
        <v>-246093.5481757228</v>
      </c>
    </row>
    <row r="99" spans="3:15" ht="15.75" customHeight="1">
      <c r="C99" s="370" t="s">
        <v>385</v>
      </c>
      <c r="D99" s="118"/>
      <c r="E99" s="118">
        <f>E88*K42*-1</f>
        <v>-2400000</v>
      </c>
      <c r="F99" s="118">
        <f>F88*K42*-1</f>
        <v>-2759999.9999999995</v>
      </c>
      <c r="G99" s="118">
        <f>G88*K42*-1</f>
        <v>-3036000</v>
      </c>
      <c r="H99" s="118">
        <f>H88*K42*-1</f>
        <v>-3187800</v>
      </c>
      <c r="I99" s="118">
        <f>I88*K42*-1</f>
        <v>-3347190</v>
      </c>
    </row>
    <row r="100" spans="3:15" ht="30" customHeight="1">
      <c r="C100" s="1666" t="s">
        <v>552</v>
      </c>
      <c r="D100" s="1667"/>
      <c r="E100" s="1667">
        <f>-(180000-137000)*13*1.4</f>
        <v>-782600</v>
      </c>
      <c r="F100" s="1667">
        <f>-(180000-137000)*13*1.4</f>
        <v>-782600</v>
      </c>
      <c r="G100" s="1667">
        <f>-(180000-137000)*13*1.4</f>
        <v>-782600</v>
      </c>
      <c r="H100" s="1667">
        <f>-(180000-137000)*13*1.4</f>
        <v>-782600</v>
      </c>
      <c r="I100" s="1667">
        <f>-(180000-137000)*13*1.4</f>
        <v>-782600</v>
      </c>
      <c r="J100" s="1655" t="s">
        <v>549</v>
      </c>
      <c r="K100" s="1655"/>
      <c r="L100" s="1655"/>
      <c r="M100" s="1655"/>
      <c r="N100" s="1655"/>
      <c r="O100" s="1655"/>
    </row>
    <row r="101" spans="3:15" ht="30" customHeight="1">
      <c r="C101" s="1667"/>
      <c r="D101" s="1667"/>
      <c r="E101" s="1667"/>
      <c r="F101" s="1667"/>
      <c r="G101" s="1667"/>
      <c r="H101" s="1667"/>
      <c r="I101" s="1667"/>
      <c r="J101" s="1665" t="s">
        <v>550</v>
      </c>
      <c r="K101" s="1665"/>
      <c r="L101" s="1665"/>
      <c r="M101" s="1665"/>
      <c r="N101" s="1665"/>
      <c r="O101" s="1665"/>
    </row>
    <row r="102" spans="3:15" ht="30" customHeight="1">
      <c r="C102" s="198"/>
      <c r="D102" s="103"/>
      <c r="E102" s="103"/>
      <c r="F102" s="103"/>
      <c r="G102" s="103"/>
      <c r="H102" s="103"/>
      <c r="I102" s="103"/>
      <c r="J102" s="338"/>
      <c r="K102" s="338"/>
      <c r="L102" s="338"/>
      <c r="M102" s="338"/>
      <c r="N102" s="338"/>
      <c r="O102" s="338"/>
    </row>
    <row r="103" spans="3:15" ht="15.75" customHeight="1">
      <c r="C103" s="339"/>
      <c r="E103" s="297"/>
      <c r="F103" s="297"/>
      <c r="G103" s="297"/>
      <c r="H103" s="297"/>
      <c r="I103" s="297"/>
    </row>
    <row r="104" spans="3:15">
      <c r="C104" s="267" t="s">
        <v>125</v>
      </c>
      <c r="D104" s="268"/>
      <c r="E104" s="268"/>
      <c r="F104" s="268"/>
      <c r="G104" s="268"/>
      <c r="H104" s="268"/>
      <c r="I104" s="268"/>
    </row>
    <row r="105" spans="3:15">
      <c r="C105" s="25" t="s">
        <v>126</v>
      </c>
      <c r="D105" s="26"/>
      <c r="E105" s="26">
        <f>D117/5</f>
        <v>-100000</v>
      </c>
      <c r="F105" s="26">
        <f>D117/5</f>
        <v>-100000</v>
      </c>
      <c r="G105" s="26">
        <f>D117/5</f>
        <v>-100000</v>
      </c>
      <c r="H105" s="26">
        <f>D117/5</f>
        <v>-100000</v>
      </c>
      <c r="I105" s="26">
        <f>D117/5</f>
        <v>-100000</v>
      </c>
      <c r="J105" t="s">
        <v>443</v>
      </c>
    </row>
    <row r="106" spans="3:15">
      <c r="C106" s="25" t="s">
        <v>127</v>
      </c>
      <c r="D106" s="26"/>
      <c r="E106" s="26"/>
      <c r="F106" s="26"/>
      <c r="G106" s="26">
        <f>F118/5</f>
        <v>-20000</v>
      </c>
      <c r="H106" s="26">
        <f>F118/5</f>
        <v>-20000</v>
      </c>
      <c r="I106" s="26">
        <f>F118/5</f>
        <v>-20000</v>
      </c>
    </row>
    <row r="107" spans="3:15">
      <c r="C107" s="25" t="s">
        <v>129</v>
      </c>
      <c r="D107" s="26"/>
      <c r="E107" s="26"/>
      <c r="F107" s="26"/>
      <c r="G107" s="26"/>
      <c r="H107" s="26"/>
      <c r="I107" s="26"/>
    </row>
    <row r="108" spans="3:15">
      <c r="C108" s="25" t="s">
        <v>333</v>
      </c>
      <c r="D108" s="26"/>
      <c r="E108" s="26"/>
      <c r="F108" s="26"/>
      <c r="G108" s="26"/>
      <c r="H108" s="26"/>
      <c r="I108" s="26">
        <v>0</v>
      </c>
    </row>
    <row r="109" spans="3:15">
      <c r="C109" s="25" t="s">
        <v>334</v>
      </c>
      <c r="D109" s="26"/>
      <c r="E109" s="26"/>
      <c r="F109" s="26"/>
      <c r="G109" s="26"/>
      <c r="H109" s="26"/>
      <c r="I109" s="26">
        <v>-40000</v>
      </c>
    </row>
    <row r="110" spans="3:15" ht="14.25">
      <c r="C110" s="31" t="s">
        <v>130</v>
      </c>
      <c r="D110" s="32"/>
      <c r="E110" s="32">
        <f>SUM(E90:E109)</f>
        <v>-27070.111861369107</v>
      </c>
      <c r="F110" s="32">
        <f>SUM(F90:F109)</f>
        <v>122601.84728491865</v>
      </c>
      <c r="G110" s="32">
        <f>SUM(G90:G109)</f>
        <v>220784.7707103705</v>
      </c>
      <c r="H110" s="32">
        <f>SUM(H90:H109)</f>
        <v>292408.90560572967</v>
      </c>
      <c r="I110" s="32">
        <f>SUM(I90:I109)</f>
        <v>492159.35088601615</v>
      </c>
    </row>
    <row r="111" spans="3:15">
      <c r="C111" s="33" t="s">
        <v>131</v>
      </c>
      <c r="D111" s="26"/>
      <c r="E111" s="26">
        <f>E110*0.1</f>
        <v>-2707.011186136911</v>
      </c>
      <c r="F111" s="26">
        <f>F110*0.1</f>
        <v>12260.184728491866</v>
      </c>
      <c r="G111" s="26">
        <f>G110*0.1</f>
        <v>22078.47707103705</v>
      </c>
      <c r="H111" s="26">
        <f>H110*0.1</f>
        <v>29240.890560572967</v>
      </c>
      <c r="I111" s="26">
        <f>I110*0.1</f>
        <v>49215.935088601618</v>
      </c>
    </row>
    <row r="112" spans="3:15" ht="28.5">
      <c r="C112" s="34" t="s">
        <v>132</v>
      </c>
      <c r="D112" s="35"/>
      <c r="E112" s="35">
        <f>E110-E111</f>
        <v>-24363.100675232195</v>
      </c>
      <c r="F112" s="35">
        <f>F110-F111</f>
        <v>110341.66255642679</v>
      </c>
      <c r="G112" s="35">
        <f>G110-G111</f>
        <v>198706.29363933345</v>
      </c>
      <c r="H112" s="35">
        <f>H110-H111</f>
        <v>263168.0150451567</v>
      </c>
      <c r="I112" s="35">
        <f>I110-I111</f>
        <v>442943.41579741455</v>
      </c>
    </row>
    <row r="113" spans="3:17">
      <c r="C113" s="33" t="s">
        <v>133</v>
      </c>
      <c r="D113" s="26"/>
      <c r="E113" s="26">
        <f>-SUM(E105:E109)</f>
        <v>100000</v>
      </c>
      <c r="F113" s="26">
        <f>-SUM(F105:F109)</f>
        <v>100000</v>
      </c>
      <c r="G113" s="26">
        <f>-SUM(G105:G109)</f>
        <v>120000</v>
      </c>
      <c r="H113" s="26">
        <f>-SUM(H105:H109)</f>
        <v>120000</v>
      </c>
      <c r="I113" s="118">
        <f>-SUM(I105:I109)</f>
        <v>160000</v>
      </c>
    </row>
    <row r="114" spans="3:17">
      <c r="C114" s="284" t="s">
        <v>408</v>
      </c>
      <c r="D114" s="26">
        <f>-I180</f>
        <v>-355415.66325594857</v>
      </c>
      <c r="E114" s="26">
        <f>K184</f>
        <v>-53312.349488392254</v>
      </c>
      <c r="F114" s="26">
        <f>K185</f>
        <v>-40872.801274434118</v>
      </c>
      <c r="G114" s="26">
        <f>K186</f>
        <v>-22480.040700938767</v>
      </c>
      <c r="H114" s="211">
        <f>K187</f>
        <v>-23604.042735985709</v>
      </c>
      <c r="I114" s="342"/>
      <c r="J114">
        <f>I174/E88</f>
        <v>-0.88853915813987139</v>
      </c>
      <c r="K114" t="s">
        <v>481</v>
      </c>
    </row>
    <row r="115" spans="3:17">
      <c r="C115" s="25" t="s">
        <v>134</v>
      </c>
      <c r="D115" s="26"/>
      <c r="E115" s="26">
        <f>-M32</f>
        <v>-116666.66666666667</v>
      </c>
      <c r="F115" s="26">
        <f>-N33</f>
        <v>-116666.66666666664</v>
      </c>
      <c r="G115" s="26">
        <f>-M33</f>
        <v>-116666.66666666667</v>
      </c>
      <c r="H115" s="26"/>
      <c r="I115" s="103"/>
    </row>
    <row r="116" spans="3:17">
      <c r="C116" s="25" t="s">
        <v>135</v>
      </c>
      <c r="D116" s="26">
        <f>K18*0.7</f>
        <v>350000</v>
      </c>
      <c r="E116" s="26"/>
      <c r="F116" s="26"/>
      <c r="G116" s="26"/>
      <c r="H116" s="26"/>
      <c r="I116" s="26"/>
    </row>
    <row r="117" spans="3:17">
      <c r="C117" s="25" t="s">
        <v>315</v>
      </c>
      <c r="D117" s="26">
        <v>-500000</v>
      </c>
      <c r="E117" s="26"/>
      <c r="F117" s="26"/>
      <c r="G117" s="26"/>
      <c r="H117" s="26"/>
      <c r="I117" s="26"/>
    </row>
    <row r="118" spans="3:17">
      <c r="C118" s="25" t="s">
        <v>445</v>
      </c>
      <c r="D118" s="26"/>
      <c r="E118" s="26"/>
      <c r="F118" s="26">
        <v>-100000</v>
      </c>
      <c r="G118" s="26"/>
      <c r="I118" s="26"/>
    </row>
    <row r="119" spans="3:17">
      <c r="C119" s="286" t="s">
        <v>412</v>
      </c>
      <c r="D119" s="26"/>
      <c r="E119" s="26"/>
      <c r="F119" s="26"/>
      <c r="G119" s="26"/>
      <c r="H119" s="26"/>
      <c r="I119" s="26">
        <f>(D114+E114+F114+G114+H114)*-1</f>
        <v>495684.89745569945</v>
      </c>
    </row>
    <row r="120" spans="3:17" ht="14.25">
      <c r="C120" s="37" t="s">
        <v>139</v>
      </c>
      <c r="D120" s="35">
        <f>SUM(D112:D118)</f>
        <v>-505415.66325594857</v>
      </c>
      <c r="E120" s="35">
        <f>SUM(E112:E118)</f>
        <v>-94342.116830291125</v>
      </c>
      <c r="F120" s="35">
        <f>SUM(F112:F118)</f>
        <v>-47197.805384673979</v>
      </c>
      <c r="G120" s="35">
        <f>SUM(G112:G119)</f>
        <v>179559.58627172798</v>
      </c>
      <c r="H120" s="35">
        <f>SUM(H112:H118)</f>
        <v>359563.97230917099</v>
      </c>
      <c r="I120" s="35">
        <f>SUM(I112:I118)</f>
        <v>602943.41579741449</v>
      </c>
      <c r="J120" s="375">
        <f>NPV(C142,E120:I120)+D120</f>
        <v>1.1059455573558807E-9</v>
      </c>
      <c r="K120" s="376" t="s">
        <v>29</v>
      </c>
    </row>
    <row r="121" spans="3:17">
      <c r="C121" s="3"/>
      <c r="E121" s="5"/>
      <c r="F121" s="5"/>
      <c r="G121" s="5"/>
      <c r="H121" s="5"/>
      <c r="I121" s="5"/>
    </row>
    <row r="123" spans="3:17">
      <c r="D123" s="351"/>
      <c r="E123" s="297"/>
      <c r="K123" s="274"/>
    </row>
    <row r="124" spans="3:17" ht="13.5" thickBot="1">
      <c r="D124" s="351"/>
      <c r="G124" s="297">
        <f>D114/E88 *-1</f>
        <v>0.88853915813987139</v>
      </c>
    </row>
    <row r="125" spans="3:17" ht="12.75" customHeight="1">
      <c r="D125" s="351"/>
      <c r="N125" s="1656" t="s">
        <v>562</v>
      </c>
      <c r="O125" s="1657"/>
      <c r="P125" s="1657"/>
      <c r="Q125" s="1658"/>
    </row>
    <row r="126" spans="3:17">
      <c r="N126" s="1659"/>
      <c r="O126" s="1660"/>
      <c r="P126" s="1660"/>
      <c r="Q126" s="1661"/>
    </row>
    <row r="127" spans="3:17">
      <c r="N127" s="1659"/>
      <c r="O127" s="1660"/>
      <c r="P127" s="1660"/>
      <c r="Q127" s="1661"/>
    </row>
    <row r="128" spans="3:17">
      <c r="N128" s="1659"/>
      <c r="O128" s="1660"/>
      <c r="P128" s="1660"/>
      <c r="Q128" s="1661"/>
    </row>
    <row r="129" spans="2:17">
      <c r="N129" s="1659"/>
      <c r="O129" s="1660"/>
      <c r="P129" s="1660"/>
      <c r="Q129" s="1661"/>
    </row>
    <row r="130" spans="2:17">
      <c r="N130" s="1659"/>
      <c r="O130" s="1660"/>
      <c r="P130" s="1660"/>
      <c r="Q130" s="1661"/>
    </row>
    <row r="131" spans="2:17">
      <c r="N131" s="1659"/>
      <c r="O131" s="1660"/>
      <c r="P131" s="1660"/>
      <c r="Q131" s="1661"/>
    </row>
    <row r="132" spans="2:17">
      <c r="H132" s="25"/>
      <c r="I132" s="25" t="s">
        <v>483</v>
      </c>
      <c r="J132" s="25" t="s">
        <v>484</v>
      </c>
      <c r="N132" s="1659"/>
      <c r="O132" s="1660"/>
      <c r="P132" s="1660"/>
      <c r="Q132" s="1661"/>
    </row>
    <row r="133" spans="2:17">
      <c r="H133" s="25" t="s">
        <v>485</v>
      </c>
      <c r="I133" s="343">
        <v>3000000</v>
      </c>
      <c r="J133" s="134">
        <v>0.08</v>
      </c>
      <c r="N133" s="1659"/>
      <c r="O133" s="1660"/>
      <c r="P133" s="1660"/>
      <c r="Q133" s="1661"/>
    </row>
    <row r="134" spans="2:17">
      <c r="H134" s="25" t="s">
        <v>486</v>
      </c>
      <c r="I134" s="343">
        <v>3400000</v>
      </c>
      <c r="J134" s="134">
        <v>0</v>
      </c>
      <c r="N134" s="1659"/>
      <c r="O134" s="1660"/>
      <c r="P134" s="1660"/>
      <c r="Q134" s="1661"/>
    </row>
    <row r="135" spans="2:17">
      <c r="H135" s="25" t="s">
        <v>487</v>
      </c>
      <c r="I135" s="343">
        <v>0</v>
      </c>
      <c r="J135" s="134">
        <v>0</v>
      </c>
      <c r="N135" s="1659"/>
      <c r="O135" s="1660"/>
      <c r="P135" s="1660"/>
      <c r="Q135" s="1661"/>
    </row>
    <row r="136" spans="2:17">
      <c r="H136" s="271" t="s">
        <v>150</v>
      </c>
      <c r="I136" s="344">
        <f>(I133*J133+I134*J134+I135*J135)/SUM(I133:I135)</f>
        <v>3.7499999999999999E-2</v>
      </c>
      <c r="J136" s="25"/>
      <c r="K136">
        <f>I133*J133/(I133+I134)</f>
        <v>3.7499999999999999E-2</v>
      </c>
      <c r="N136" s="1659"/>
      <c r="O136" s="1660"/>
      <c r="P136" s="1660"/>
      <c r="Q136" s="1661"/>
    </row>
    <row r="137" spans="2:17">
      <c r="N137" s="1659"/>
      <c r="O137" s="1660"/>
      <c r="P137" s="1660"/>
      <c r="Q137" s="1661"/>
    </row>
    <row r="138" spans="2:17" ht="15">
      <c r="H138" s="345" t="s">
        <v>488</v>
      </c>
      <c r="I138" s="346">
        <v>0.2</v>
      </c>
      <c r="J138" t="s">
        <v>498</v>
      </c>
      <c r="N138" s="1659"/>
      <c r="O138" s="1660"/>
      <c r="P138" s="1660"/>
      <c r="Q138" s="1661"/>
    </row>
    <row r="139" spans="2:17" ht="15">
      <c r="H139" s="345" t="s">
        <v>489</v>
      </c>
      <c r="I139" s="346">
        <v>0.7</v>
      </c>
      <c r="J139" s="347" t="s">
        <v>490</v>
      </c>
      <c r="N139" s="1659"/>
      <c r="O139" s="1660"/>
      <c r="P139" s="1660"/>
      <c r="Q139" s="1661"/>
    </row>
    <row r="140" spans="2:17" ht="15">
      <c r="H140" s="345" t="s">
        <v>491</v>
      </c>
      <c r="I140" s="346">
        <v>0.3</v>
      </c>
      <c r="J140" s="347" t="s">
        <v>492</v>
      </c>
      <c r="N140" s="1659"/>
      <c r="O140" s="1660"/>
      <c r="P140" s="1660"/>
      <c r="Q140" s="1661"/>
    </row>
    <row r="141" spans="2:17" ht="15.75" thickBot="1">
      <c r="H141" s="345" t="s">
        <v>493</v>
      </c>
      <c r="I141" s="346">
        <f>I136</f>
        <v>3.7499999999999999E-2</v>
      </c>
      <c r="J141" t="s">
        <v>494</v>
      </c>
      <c r="N141" s="1659"/>
      <c r="O141" s="1660"/>
      <c r="P141" s="1660"/>
      <c r="Q141" s="1661"/>
    </row>
    <row r="142" spans="2:17" ht="15">
      <c r="B142" s="40" t="s">
        <v>140</v>
      </c>
      <c r="C142" s="285">
        <f>C150*C144+C149*C151*(1-C148)</f>
        <v>0.15012499999999998</v>
      </c>
      <c r="D142" s="351" t="s">
        <v>563</v>
      </c>
      <c r="H142" s="345" t="s">
        <v>495</v>
      </c>
      <c r="I142" s="346">
        <v>0.1</v>
      </c>
      <c r="J142" t="s">
        <v>496</v>
      </c>
      <c r="N142" s="1659"/>
      <c r="O142" s="1660"/>
      <c r="P142" s="1660"/>
      <c r="Q142" s="1661"/>
    </row>
    <row r="143" spans="2:17" ht="15.75" thickBot="1">
      <c r="B143" s="42" t="s">
        <v>141</v>
      </c>
      <c r="C143" s="43" t="s">
        <v>142</v>
      </c>
      <c r="N143" s="1659"/>
      <c r="O143" s="1660"/>
      <c r="P143" s="1660"/>
      <c r="Q143" s="1661"/>
    </row>
    <row r="144" spans="2:17" ht="15.75" thickBot="1">
      <c r="B144" s="44" t="s">
        <v>143</v>
      </c>
      <c r="C144" s="45">
        <v>0.2</v>
      </c>
      <c r="H144" s="348" t="s">
        <v>497</v>
      </c>
      <c r="I144" s="349">
        <f>I138*I139+I141*I140*(1-I142)</f>
        <v>0.15012499999999998</v>
      </c>
      <c r="N144" s="1659"/>
      <c r="O144" s="1660"/>
      <c r="P144" s="1660"/>
      <c r="Q144" s="1661"/>
    </row>
    <row r="145" spans="2:20" ht="15.75" thickBot="1">
      <c r="B145" s="44" t="s">
        <v>144</v>
      </c>
      <c r="C145" s="46" t="s">
        <v>505</v>
      </c>
      <c r="D145" s="4"/>
      <c r="N145" s="1662"/>
      <c r="O145" s="1663"/>
      <c r="P145" s="1663"/>
      <c r="Q145" s="1664"/>
    </row>
    <row r="146" spans="2:20" ht="18">
      <c r="B146" s="47" t="s">
        <v>7</v>
      </c>
      <c r="C146" s="48" t="s">
        <v>505</v>
      </c>
      <c r="J146" s="350" t="s">
        <v>502</v>
      </c>
    </row>
    <row r="147" spans="2:20" ht="18">
      <c r="B147" s="47" t="s">
        <v>146</v>
      </c>
      <c r="C147" s="49" t="s">
        <v>505</v>
      </c>
      <c r="D147" s="4"/>
      <c r="J147" s="350" t="s">
        <v>499</v>
      </c>
    </row>
    <row r="148" spans="2:20" ht="18">
      <c r="B148" s="47" t="s">
        <v>148</v>
      </c>
      <c r="C148" s="49">
        <v>0.1</v>
      </c>
      <c r="D148" s="4"/>
      <c r="J148" s="350" t="s">
        <v>500</v>
      </c>
    </row>
    <row r="149" spans="2:20" ht="18">
      <c r="B149" s="47" t="s">
        <v>150</v>
      </c>
      <c r="C149" s="49">
        <f>I141</f>
        <v>3.7499999999999999E-2</v>
      </c>
      <c r="D149" s="4"/>
      <c r="J149" s="350" t="s">
        <v>501</v>
      </c>
    </row>
    <row r="150" spans="2:20">
      <c r="B150" s="47" t="s">
        <v>152</v>
      </c>
      <c r="C150" s="49">
        <v>0.7</v>
      </c>
      <c r="D150" s="4" t="s">
        <v>504</v>
      </c>
      <c r="E150" s="4"/>
      <c r="F150" s="4"/>
    </row>
    <row r="151" spans="2:20" ht="13.5" thickBot="1">
      <c r="B151" s="50" t="s">
        <v>154</v>
      </c>
      <c r="C151" s="51">
        <v>0.3</v>
      </c>
      <c r="D151" s="4" t="s">
        <v>503</v>
      </c>
      <c r="E151" s="4"/>
      <c r="F151" s="4"/>
    </row>
    <row r="156" spans="2:20" ht="15" thickBot="1">
      <c r="B156" s="383" t="s">
        <v>564</v>
      </c>
      <c r="C156" s="384"/>
    </row>
    <row r="157" spans="2:20" ht="15">
      <c r="B157" s="393" t="s">
        <v>141</v>
      </c>
      <c r="C157" s="386" t="s">
        <v>142</v>
      </c>
    </row>
    <row r="158" spans="2:20" ht="14.25">
      <c r="B158" s="394" t="s">
        <v>143</v>
      </c>
      <c r="C158" s="387">
        <f>0.2+0.05+0.015</f>
        <v>0.26500000000000001</v>
      </c>
      <c r="D158" s="351" t="s">
        <v>568</v>
      </c>
      <c r="E158" s="351" t="s">
        <v>569</v>
      </c>
    </row>
    <row r="159" spans="2:20" ht="15.75" thickBot="1">
      <c r="B159" s="395" t="s">
        <v>144</v>
      </c>
      <c r="C159" s="388">
        <v>0.03</v>
      </c>
    </row>
    <row r="160" spans="2:20" ht="15" thickBot="1">
      <c r="B160" s="396" t="s">
        <v>7</v>
      </c>
      <c r="C160" s="389">
        <v>0</v>
      </c>
      <c r="F160" s="1671"/>
      <c r="G160" s="1611"/>
      <c r="H160" s="306"/>
      <c r="I160" s="1672" t="s">
        <v>451</v>
      </c>
      <c r="J160" s="1673"/>
      <c r="K160" s="1673"/>
      <c r="L160" s="1673"/>
      <c r="M160" s="1673"/>
      <c r="N160" s="1673"/>
      <c r="O160" s="1673"/>
      <c r="P160" s="1673"/>
      <c r="Q160" s="1673"/>
      <c r="R160" s="1673"/>
      <c r="S160" s="1673"/>
      <c r="T160" s="1632"/>
    </row>
    <row r="161" spans="2:20" ht="15" thickBot="1">
      <c r="B161" s="396" t="s">
        <v>146</v>
      </c>
      <c r="C161" s="389">
        <v>0.05</v>
      </c>
      <c r="F161" s="1611"/>
      <c r="G161" s="1611"/>
      <c r="H161" s="306"/>
      <c r="I161" s="307" t="s">
        <v>452</v>
      </c>
      <c r="J161" s="308" t="s">
        <v>453</v>
      </c>
      <c r="K161" s="308" t="s">
        <v>454</v>
      </c>
      <c r="L161" s="308" t="s">
        <v>455</v>
      </c>
      <c r="M161" s="308" t="s">
        <v>456</v>
      </c>
      <c r="N161" s="308" t="s">
        <v>457</v>
      </c>
      <c r="O161" s="308" t="s">
        <v>458</v>
      </c>
      <c r="P161" s="308" t="s">
        <v>459</v>
      </c>
      <c r="Q161" s="308" t="s">
        <v>460</v>
      </c>
      <c r="R161" s="308" t="s">
        <v>461</v>
      </c>
      <c r="S161" s="308" t="s">
        <v>462</v>
      </c>
      <c r="T161" s="309" t="s">
        <v>463</v>
      </c>
    </row>
    <row r="162" spans="2:20" ht="14.25">
      <c r="B162" s="396" t="s">
        <v>565</v>
      </c>
      <c r="C162" s="389">
        <v>0</v>
      </c>
      <c r="F162" s="1674" t="s">
        <v>48</v>
      </c>
      <c r="G162" s="310" t="s">
        <v>40</v>
      </c>
      <c r="H162" s="311" t="s">
        <v>464</v>
      </c>
      <c r="I162" s="312"/>
      <c r="J162" s="313">
        <f>(E91/12)*0.6</f>
        <v>176453.8360898947</v>
      </c>
      <c r="K162" s="313">
        <f>J162</f>
        <v>176453.8360898947</v>
      </c>
      <c r="L162" s="313">
        <f t="shared" ref="L162:T163" si="0">K162</f>
        <v>176453.8360898947</v>
      </c>
      <c r="M162" s="313">
        <f t="shared" si="0"/>
        <v>176453.8360898947</v>
      </c>
      <c r="N162" s="313">
        <f t="shared" si="0"/>
        <v>176453.8360898947</v>
      </c>
      <c r="O162" s="313">
        <f t="shared" si="0"/>
        <v>176453.8360898947</v>
      </c>
      <c r="P162" s="313">
        <f t="shared" si="0"/>
        <v>176453.8360898947</v>
      </c>
      <c r="Q162" s="313">
        <f t="shared" si="0"/>
        <v>176453.8360898947</v>
      </c>
      <c r="R162" s="313">
        <f t="shared" si="0"/>
        <v>176453.8360898947</v>
      </c>
      <c r="S162" s="313">
        <f t="shared" si="0"/>
        <v>176453.8360898947</v>
      </c>
      <c r="T162" s="313">
        <f t="shared" si="0"/>
        <v>176453.8360898947</v>
      </c>
    </row>
    <row r="163" spans="2:20" ht="14.25">
      <c r="B163" s="394" t="s">
        <v>566</v>
      </c>
      <c r="C163" s="390">
        <f>C161-C159</f>
        <v>2.0000000000000004E-2</v>
      </c>
      <c r="F163" s="1675"/>
      <c r="G163" s="314" t="s">
        <v>40</v>
      </c>
      <c r="H163" s="315" t="s">
        <v>465</v>
      </c>
      <c r="I163" s="316"/>
      <c r="J163" s="317"/>
      <c r="K163" s="317">
        <f>(E91/12)*0.4</f>
        <v>117635.89072659647</v>
      </c>
      <c r="L163" s="317">
        <f>K163</f>
        <v>117635.89072659647</v>
      </c>
      <c r="M163" s="317">
        <f t="shared" si="0"/>
        <v>117635.89072659647</v>
      </c>
      <c r="N163" s="317">
        <f t="shared" si="0"/>
        <v>117635.89072659647</v>
      </c>
      <c r="O163" s="317">
        <f t="shared" si="0"/>
        <v>117635.89072659647</v>
      </c>
      <c r="P163" s="317">
        <f t="shared" si="0"/>
        <v>117635.89072659647</v>
      </c>
      <c r="Q163" s="317">
        <f t="shared" si="0"/>
        <v>117635.89072659647</v>
      </c>
      <c r="R163" s="317">
        <f t="shared" si="0"/>
        <v>117635.89072659647</v>
      </c>
      <c r="S163" s="317">
        <f t="shared" si="0"/>
        <v>117635.89072659647</v>
      </c>
      <c r="T163" s="317">
        <f t="shared" si="0"/>
        <v>117635.89072659647</v>
      </c>
    </row>
    <row r="164" spans="2:20" ht="14.25">
      <c r="B164" s="396" t="s">
        <v>148</v>
      </c>
      <c r="C164" s="389">
        <v>0.1</v>
      </c>
      <c r="F164" s="1675"/>
      <c r="G164" s="314"/>
      <c r="H164" s="315"/>
      <c r="I164" s="316"/>
      <c r="J164" s="318"/>
      <c r="K164" s="318"/>
      <c r="L164" s="318"/>
      <c r="M164" s="318"/>
      <c r="N164" s="318"/>
      <c r="O164" s="318"/>
      <c r="P164" s="318"/>
      <c r="Q164" s="318"/>
      <c r="R164" s="318"/>
      <c r="S164" s="318"/>
      <c r="T164" s="319"/>
    </row>
    <row r="165" spans="2:20" ht="15" thickBot="1">
      <c r="B165" s="396" t="s">
        <v>150</v>
      </c>
      <c r="C165" s="391">
        <v>3.7499999999999999E-2</v>
      </c>
      <c r="F165" s="1676"/>
      <c r="G165" s="320"/>
      <c r="H165" s="321"/>
      <c r="I165" s="322"/>
      <c r="J165" s="323"/>
      <c r="K165" s="323"/>
      <c r="L165" s="323"/>
      <c r="M165" s="323"/>
      <c r="N165" s="323"/>
      <c r="O165" s="323"/>
      <c r="P165" s="323"/>
      <c r="Q165" s="323"/>
      <c r="R165" s="323"/>
      <c r="S165" s="323"/>
      <c r="T165" s="324"/>
    </row>
    <row r="166" spans="2:20" ht="14.25">
      <c r="B166" s="396" t="s">
        <v>152</v>
      </c>
      <c r="C166" s="389">
        <f>C167*2.33</f>
        <v>0.6996996996996997</v>
      </c>
      <c r="F166" s="1674" t="s">
        <v>466</v>
      </c>
      <c r="G166" s="310" t="s">
        <v>467</v>
      </c>
      <c r="H166" s="325" t="s">
        <v>468</v>
      </c>
      <c r="I166" s="312">
        <f>-$G$176*2</f>
        <v>-66666.666666666672</v>
      </c>
      <c r="J166" s="312">
        <f t="shared" ref="J166:T166" si="1">-$G$176*2</f>
        <v>-66666.666666666672</v>
      </c>
      <c r="K166" s="312">
        <f t="shared" si="1"/>
        <v>-66666.666666666672</v>
      </c>
      <c r="L166" s="312">
        <f t="shared" si="1"/>
        <v>-66666.666666666672</v>
      </c>
      <c r="M166" s="312">
        <f t="shared" si="1"/>
        <v>-66666.666666666672</v>
      </c>
      <c r="N166" s="312">
        <f t="shared" si="1"/>
        <v>-66666.666666666672</v>
      </c>
      <c r="O166" s="312">
        <f>-$G$176*2</f>
        <v>-66666.666666666672</v>
      </c>
      <c r="P166" s="312">
        <f t="shared" si="1"/>
        <v>-66666.666666666672</v>
      </c>
      <c r="Q166" s="312">
        <f t="shared" si="1"/>
        <v>-66666.666666666672</v>
      </c>
      <c r="R166" s="312">
        <f t="shared" si="1"/>
        <v>-66666.666666666672</v>
      </c>
      <c r="S166" s="312">
        <f t="shared" si="1"/>
        <v>-66666.666666666672</v>
      </c>
      <c r="T166" s="312">
        <f t="shared" si="1"/>
        <v>-66666.666666666672</v>
      </c>
    </row>
    <row r="167" spans="2:20" ht="14.25">
      <c r="B167" s="396" t="s">
        <v>154</v>
      </c>
      <c r="C167" s="389">
        <f>1/3.33</f>
        <v>0.3003003003003003</v>
      </c>
      <c r="F167" s="1677"/>
      <c r="G167" s="326" t="s">
        <v>469</v>
      </c>
      <c r="H167" s="306" t="s">
        <v>468</v>
      </c>
      <c r="I167" s="316">
        <f>-$G$176*3.2</f>
        <v>-106666.66666666669</v>
      </c>
      <c r="J167" s="316">
        <f t="shared" ref="J167:T167" si="2">-$G$176*3.2</f>
        <v>-106666.66666666669</v>
      </c>
      <c r="K167" s="316">
        <f t="shared" si="2"/>
        <v>-106666.66666666669</v>
      </c>
      <c r="L167" s="316">
        <f t="shared" si="2"/>
        <v>-106666.66666666669</v>
      </c>
      <c r="M167" s="316">
        <f t="shared" si="2"/>
        <v>-106666.66666666669</v>
      </c>
      <c r="N167" s="316">
        <f t="shared" si="2"/>
        <v>-106666.66666666669</v>
      </c>
      <c r="O167" s="316">
        <f t="shared" si="2"/>
        <v>-106666.66666666669</v>
      </c>
      <c r="P167" s="316">
        <f t="shared" si="2"/>
        <v>-106666.66666666669</v>
      </c>
      <c r="Q167" s="316">
        <f t="shared" si="2"/>
        <v>-106666.66666666669</v>
      </c>
      <c r="R167" s="316">
        <f t="shared" si="2"/>
        <v>-106666.66666666669</v>
      </c>
      <c r="S167" s="316">
        <f t="shared" si="2"/>
        <v>-106666.66666666669</v>
      </c>
      <c r="T167" s="316">
        <f t="shared" si="2"/>
        <v>-106666.66666666669</v>
      </c>
    </row>
    <row r="168" spans="2:20">
      <c r="B168" s="397"/>
      <c r="C168" s="385"/>
      <c r="F168" s="1677"/>
      <c r="G168" s="326" t="s">
        <v>181</v>
      </c>
      <c r="H168" s="306" t="s">
        <v>468</v>
      </c>
      <c r="I168" s="316">
        <f>-$G$176*0.8</f>
        <v>-26666.666666666672</v>
      </c>
      <c r="J168" s="316">
        <f t="shared" ref="J168:T168" si="3">-$G$176*0.8</f>
        <v>-26666.666666666672</v>
      </c>
      <c r="K168" s="316">
        <f t="shared" si="3"/>
        <v>-26666.666666666672</v>
      </c>
      <c r="L168" s="316">
        <f t="shared" si="3"/>
        <v>-26666.666666666672</v>
      </c>
      <c r="M168" s="316">
        <f t="shared" si="3"/>
        <v>-26666.666666666672</v>
      </c>
      <c r="N168" s="316">
        <f t="shared" si="3"/>
        <v>-26666.666666666672</v>
      </c>
      <c r="O168" s="316">
        <f t="shared" si="3"/>
        <v>-26666.666666666672</v>
      </c>
      <c r="P168" s="316">
        <f t="shared" si="3"/>
        <v>-26666.666666666672</v>
      </c>
      <c r="Q168" s="316">
        <f t="shared" si="3"/>
        <v>-26666.666666666672</v>
      </c>
      <c r="R168" s="316">
        <f t="shared" si="3"/>
        <v>-26666.666666666672</v>
      </c>
      <c r="S168" s="316">
        <f t="shared" si="3"/>
        <v>-26666.666666666672</v>
      </c>
      <c r="T168" s="316">
        <f t="shared" si="3"/>
        <v>-26666.666666666672</v>
      </c>
    </row>
    <row r="169" spans="2:20" ht="15" thickBot="1">
      <c r="B169" s="398" t="s">
        <v>140</v>
      </c>
      <c r="C169" s="392">
        <f>(C158*C166)+(C165*C167*(1-C164))</f>
        <v>0.19555555555555557</v>
      </c>
      <c r="F169" s="1677"/>
      <c r="G169" s="326" t="s">
        <v>470</v>
      </c>
      <c r="H169" s="306" t="s">
        <v>468</v>
      </c>
      <c r="I169" s="322">
        <f>-(180000-137000)*1.4</f>
        <v>-60199.999999999993</v>
      </c>
      <c r="J169" s="327">
        <f>I169</f>
        <v>-60199.999999999993</v>
      </c>
      <c r="K169" s="327">
        <f t="shared" ref="K169:T169" si="4">J169</f>
        <v>-60199.999999999993</v>
      </c>
      <c r="L169" s="327">
        <f t="shared" si="4"/>
        <v>-60199.999999999993</v>
      </c>
      <c r="M169" s="327">
        <f t="shared" si="4"/>
        <v>-60199.999999999993</v>
      </c>
      <c r="N169" s="327">
        <f t="shared" si="4"/>
        <v>-60199.999999999993</v>
      </c>
      <c r="O169" s="327">
        <f t="shared" si="4"/>
        <v>-60199.999999999993</v>
      </c>
      <c r="P169" s="327">
        <f t="shared" si="4"/>
        <v>-60199.999999999993</v>
      </c>
      <c r="Q169" s="327">
        <f t="shared" si="4"/>
        <v>-60199.999999999993</v>
      </c>
      <c r="R169" s="327">
        <f t="shared" si="4"/>
        <v>-60199.999999999993</v>
      </c>
      <c r="S169" s="327">
        <f t="shared" si="4"/>
        <v>-60199.999999999993</v>
      </c>
      <c r="T169" s="327">
        <f t="shared" si="4"/>
        <v>-60199.999999999993</v>
      </c>
    </row>
    <row r="170" spans="2:20" ht="14.25">
      <c r="B170" s="384"/>
      <c r="C170" s="384"/>
      <c r="F170" s="1677"/>
      <c r="G170" s="377" t="s">
        <v>442</v>
      </c>
      <c r="H170" s="306" t="s">
        <v>468</v>
      </c>
      <c r="I170" s="316"/>
      <c r="J170" s="316">
        <f>-J162*0.015</f>
        <v>-2646.8075413484203</v>
      </c>
      <c r="K170" s="316">
        <f t="shared" ref="K170:T170" si="5">-K162*0.015</f>
        <v>-2646.8075413484203</v>
      </c>
      <c r="L170" s="316">
        <f t="shared" si="5"/>
        <v>-2646.8075413484203</v>
      </c>
      <c r="M170" s="316">
        <f t="shared" si="5"/>
        <v>-2646.8075413484203</v>
      </c>
      <c r="N170" s="316">
        <f t="shared" si="5"/>
        <v>-2646.8075413484203</v>
      </c>
      <c r="O170" s="316">
        <f t="shared" si="5"/>
        <v>-2646.8075413484203</v>
      </c>
      <c r="P170" s="316">
        <f t="shared" si="5"/>
        <v>-2646.8075413484203</v>
      </c>
      <c r="Q170" s="316">
        <f t="shared" si="5"/>
        <v>-2646.8075413484203</v>
      </c>
      <c r="R170" s="316">
        <f t="shared" si="5"/>
        <v>-2646.8075413484203</v>
      </c>
      <c r="S170" s="316">
        <f t="shared" si="5"/>
        <v>-2646.8075413484203</v>
      </c>
      <c r="T170" s="316">
        <f t="shared" si="5"/>
        <v>-2646.8075413484203</v>
      </c>
    </row>
    <row r="171" spans="2:20" ht="15" thickBot="1">
      <c r="B171" s="383" t="s">
        <v>567</v>
      </c>
      <c r="C171" s="384"/>
      <c r="F171" s="1677"/>
      <c r="G171" s="377" t="s">
        <v>471</v>
      </c>
      <c r="H171" s="306" t="s">
        <v>468</v>
      </c>
      <c r="I171" s="328"/>
      <c r="J171" s="328">
        <f>-J162*0.05</f>
        <v>-8822.6918044947361</v>
      </c>
      <c r="K171" s="328">
        <f t="shared" ref="K171:T171" si="6">-K162*0.05</f>
        <v>-8822.6918044947361</v>
      </c>
      <c r="L171" s="328">
        <f t="shared" si="6"/>
        <v>-8822.6918044947361</v>
      </c>
      <c r="M171" s="328">
        <f t="shared" si="6"/>
        <v>-8822.6918044947361</v>
      </c>
      <c r="N171" s="328">
        <f t="shared" si="6"/>
        <v>-8822.6918044947361</v>
      </c>
      <c r="O171" s="328">
        <f t="shared" si="6"/>
        <v>-8822.6918044947361</v>
      </c>
      <c r="P171" s="328">
        <f t="shared" si="6"/>
        <v>-8822.6918044947361</v>
      </c>
      <c r="Q171" s="328">
        <f t="shared" si="6"/>
        <v>-8822.6918044947361</v>
      </c>
      <c r="R171" s="328">
        <f t="shared" si="6"/>
        <v>-8822.6918044947361</v>
      </c>
      <c r="S171" s="328">
        <f t="shared" si="6"/>
        <v>-8822.6918044947361</v>
      </c>
      <c r="T171" s="328">
        <f t="shared" si="6"/>
        <v>-8822.6918044947361</v>
      </c>
    </row>
    <row r="172" spans="2:20" ht="15.75" thickBot="1">
      <c r="F172" s="1678" t="s">
        <v>176</v>
      </c>
      <c r="G172" s="1679"/>
      <c r="H172" s="1680"/>
      <c r="I172" s="329">
        <f t="shared" ref="I172:T172" si="7">SUM(I162:I171)</f>
        <v>-260200.00000000006</v>
      </c>
      <c r="J172" s="330">
        <f t="shared" si="7"/>
        <v>-95215.663255948486</v>
      </c>
      <c r="K172" s="330">
        <f t="shared" si="7"/>
        <v>22420.227470647973</v>
      </c>
      <c r="L172" s="330">
        <f t="shared" si="7"/>
        <v>22420.227470647973</v>
      </c>
      <c r="M172" s="330">
        <f t="shared" si="7"/>
        <v>22420.227470647973</v>
      </c>
      <c r="N172" s="330">
        <f t="shared" si="7"/>
        <v>22420.227470647973</v>
      </c>
      <c r="O172" s="330">
        <f t="shared" si="7"/>
        <v>22420.227470647973</v>
      </c>
      <c r="P172" s="330">
        <f t="shared" si="7"/>
        <v>22420.227470647973</v>
      </c>
      <c r="Q172" s="330">
        <f t="shared" si="7"/>
        <v>22420.227470647973</v>
      </c>
      <c r="R172" s="330">
        <f t="shared" si="7"/>
        <v>22420.227470647973</v>
      </c>
      <c r="S172" s="330">
        <f t="shared" si="7"/>
        <v>22420.227470647973</v>
      </c>
      <c r="T172" s="331">
        <f t="shared" si="7"/>
        <v>22420.227470647973</v>
      </c>
    </row>
    <row r="173" spans="2:20" ht="13.5" thickBot="1">
      <c r="B173">
        <v>3</v>
      </c>
      <c r="C173" s="351" t="s">
        <v>570</v>
      </c>
      <c r="F173" s="1686" t="s">
        <v>472</v>
      </c>
      <c r="G173" s="1687"/>
      <c r="H173" s="1687"/>
      <c r="I173" s="332">
        <f>I172</f>
        <v>-260200.00000000006</v>
      </c>
      <c r="J173" s="340">
        <f>I173+J172</f>
        <v>-355415.66325594857</v>
      </c>
      <c r="K173" s="333">
        <f t="shared" ref="K173:T173" si="8">J173+K172</f>
        <v>-332995.43578530062</v>
      </c>
      <c r="L173" s="333">
        <f t="shared" si="8"/>
        <v>-310575.20831465267</v>
      </c>
      <c r="M173" s="333">
        <f t="shared" si="8"/>
        <v>-288154.98084400472</v>
      </c>
      <c r="N173" s="333">
        <f t="shared" si="8"/>
        <v>-265734.75337335677</v>
      </c>
      <c r="O173" s="333">
        <f t="shared" si="8"/>
        <v>-243314.52590270879</v>
      </c>
      <c r="P173" s="333">
        <f t="shared" si="8"/>
        <v>-220894.29843206081</v>
      </c>
      <c r="Q173" s="333">
        <f t="shared" si="8"/>
        <v>-198474.07096141283</v>
      </c>
      <c r="R173" s="333">
        <f t="shared" si="8"/>
        <v>-176053.84349076485</v>
      </c>
      <c r="S173" s="333">
        <f t="shared" si="8"/>
        <v>-153633.61602011687</v>
      </c>
      <c r="T173" s="334">
        <f t="shared" si="8"/>
        <v>-131213.38854946889</v>
      </c>
    </row>
    <row r="174" spans="2:20" ht="13.5" thickBot="1">
      <c r="F174" s="1668" t="s">
        <v>473</v>
      </c>
      <c r="G174" s="1669"/>
      <c r="H174" s="1670"/>
      <c r="I174" s="341">
        <f>MIN(I173:T173)</f>
        <v>-355415.66325594857</v>
      </c>
      <c r="J174" s="335" t="s">
        <v>480</v>
      </c>
      <c r="K174" s="335"/>
      <c r="L174" s="335"/>
      <c r="M174" s="335"/>
      <c r="N174" s="335"/>
      <c r="O174" s="335"/>
      <c r="P174" s="335"/>
      <c r="Q174" s="335"/>
      <c r="R174" s="335"/>
      <c r="S174" s="335"/>
      <c r="T174" s="335"/>
    </row>
    <row r="175" spans="2:20" ht="13.5" thickBot="1"/>
    <row r="176" spans="2:20" ht="15" customHeight="1">
      <c r="F176" s="336" t="s">
        <v>477</v>
      </c>
      <c r="G176" s="337">
        <f>E88/12</f>
        <v>33333.333333333336</v>
      </c>
      <c r="J176" s="1645" t="s">
        <v>560</v>
      </c>
      <c r="K176" s="1646"/>
    </row>
    <row r="177" spans="6:15" ht="15">
      <c r="F177" s="336" t="s">
        <v>474</v>
      </c>
      <c r="G177" s="337">
        <f>-180000-180000*0.4</f>
        <v>-252000</v>
      </c>
      <c r="H177" t="s">
        <v>479</v>
      </c>
      <c r="J177" s="1647"/>
      <c r="K177" s="1648"/>
    </row>
    <row r="178" spans="6:15" ht="15">
      <c r="F178" s="336" t="s">
        <v>475</v>
      </c>
      <c r="G178" s="337">
        <f>-(0.015*E91)/12</f>
        <v>-4411.3459022473671</v>
      </c>
      <c r="J178" s="1647"/>
      <c r="K178" s="1648"/>
    </row>
    <row r="179" spans="6:15" ht="15.75" thickBot="1">
      <c r="F179" s="336" t="s">
        <v>476</v>
      </c>
      <c r="G179" s="337">
        <f>-(0.05*E91)/12</f>
        <v>-14704.486340824558</v>
      </c>
      <c r="J179" s="1649"/>
      <c r="K179" s="1650"/>
    </row>
    <row r="180" spans="6:15" ht="39" customHeight="1">
      <c r="H180" s="379" t="s">
        <v>561</v>
      </c>
      <c r="I180" s="380">
        <f>MIN(I173:T173)*-1</f>
        <v>355415.66325594857</v>
      </c>
      <c r="J180" s="1655" t="s">
        <v>482</v>
      </c>
      <c r="K180" s="1655"/>
      <c r="L180" s="1655"/>
      <c r="M180" s="1655"/>
      <c r="N180" s="1655"/>
      <c r="O180" s="1655"/>
    </row>
    <row r="181" spans="6:15" ht="13.5" thickBot="1"/>
    <row r="182" spans="6:15" ht="45">
      <c r="F182" s="644" t="s">
        <v>700</v>
      </c>
      <c r="G182" s="645"/>
      <c r="H182" s="646" t="s">
        <v>177</v>
      </c>
      <c r="I182" s="646" t="s">
        <v>237</v>
      </c>
      <c r="J182" s="646" t="s">
        <v>670</v>
      </c>
      <c r="K182" s="647" t="s">
        <v>671</v>
      </c>
    </row>
    <row r="183" spans="6:15" ht="15">
      <c r="F183" s="648" t="s">
        <v>818</v>
      </c>
      <c r="G183" s="649"/>
      <c r="H183" s="650">
        <v>0</v>
      </c>
      <c r="I183" s="650">
        <f>+H183</f>
        <v>0</v>
      </c>
      <c r="J183" s="651">
        <v>0</v>
      </c>
      <c r="K183" s="652">
        <f>-I180</f>
        <v>-355415.66325594857</v>
      </c>
    </row>
    <row r="184" spans="6:15" ht="15">
      <c r="F184" s="648" t="s">
        <v>451</v>
      </c>
      <c r="G184" s="649"/>
      <c r="H184" s="650">
        <f>E88</f>
        <v>400000</v>
      </c>
      <c r="I184" s="653">
        <v>0</v>
      </c>
      <c r="J184" s="643">
        <f>+K183</f>
        <v>-355415.66325594857</v>
      </c>
      <c r="K184" s="654">
        <f>+J184*I185</f>
        <v>-53312.349488392254</v>
      </c>
    </row>
    <row r="185" spans="6:15" ht="15">
      <c r="F185" s="648" t="s">
        <v>632</v>
      </c>
      <c r="G185" s="649"/>
      <c r="H185" s="650">
        <f>F88</f>
        <v>459999.99999999994</v>
      </c>
      <c r="I185" s="653">
        <f>+H185/H184-1</f>
        <v>0.14999999999999991</v>
      </c>
      <c r="J185" s="655">
        <f>+J184+K184</f>
        <v>-408728.01274434081</v>
      </c>
      <c r="K185" s="654">
        <f>+I186*J185</f>
        <v>-40872.801274434118</v>
      </c>
    </row>
    <row r="186" spans="6:15" ht="15">
      <c r="F186" s="648" t="s">
        <v>793</v>
      </c>
      <c r="G186" s="649"/>
      <c r="H186" s="650">
        <f>G88</f>
        <v>506000</v>
      </c>
      <c r="I186" s="653">
        <f>+H186/H185-1</f>
        <v>0.10000000000000009</v>
      </c>
      <c r="J186" s="655">
        <f>+J185+K185</f>
        <v>-449600.81401877495</v>
      </c>
      <c r="K186" s="654">
        <f>+I187*J186</f>
        <v>-22480.040700938767</v>
      </c>
    </row>
    <row r="187" spans="6:15" ht="15">
      <c r="F187" s="648" t="s">
        <v>794</v>
      </c>
      <c r="G187" s="649"/>
      <c r="H187" s="650">
        <f>H88</f>
        <v>531300</v>
      </c>
      <c r="I187" s="653">
        <f>+H187/H186-1</f>
        <v>5.0000000000000044E-2</v>
      </c>
      <c r="J187" s="655">
        <f>+J186+K186</f>
        <v>-472080.85471971374</v>
      </c>
      <c r="K187" s="654">
        <f>+I188*J187</f>
        <v>-23604.042735985709</v>
      </c>
    </row>
    <row r="188" spans="6:15" ht="15.75" thickBot="1">
      <c r="F188" s="656" t="s">
        <v>795</v>
      </c>
      <c r="G188" s="657"/>
      <c r="H188" s="658">
        <f>I88</f>
        <v>557865</v>
      </c>
      <c r="I188" s="659">
        <f>+H188/H187-1</f>
        <v>5.0000000000000044E-2</v>
      </c>
      <c r="J188" s="660">
        <f>+J187+K187</f>
        <v>-495684.89745569945</v>
      </c>
      <c r="K188" s="661">
        <f>+I189*J188</f>
        <v>0</v>
      </c>
    </row>
    <row r="195" spans="1:1" s="374" customFormat="1">
      <c r="A195" s="1643" t="s">
        <v>559</v>
      </c>
    </row>
    <row r="196" spans="1:1" s="374" customFormat="1">
      <c r="A196" s="1643"/>
    </row>
    <row r="197" spans="1:1" s="374" customFormat="1">
      <c r="A197" s="1643"/>
    </row>
  </sheetData>
  <mergeCells count="25">
    <mergeCell ref="C100:C101"/>
    <mergeCell ref="D100:D101"/>
    <mergeCell ref="E100:E101"/>
    <mergeCell ref="F100:F101"/>
    <mergeCell ref="G100:G101"/>
    <mergeCell ref="F160:G161"/>
    <mergeCell ref="I160:T160"/>
    <mergeCell ref="U1:U2"/>
    <mergeCell ref="H29:I34"/>
    <mergeCell ref="J29:N29"/>
    <mergeCell ref="P29:T29"/>
    <mergeCell ref="G87:I87"/>
    <mergeCell ref="H100:H101"/>
    <mergeCell ref="I100:I101"/>
    <mergeCell ref="J100:O100"/>
    <mergeCell ref="J101:O101"/>
    <mergeCell ref="N125:Q145"/>
    <mergeCell ref="J180:O180"/>
    <mergeCell ref="A195:A197"/>
    <mergeCell ref="F162:F165"/>
    <mergeCell ref="F166:F171"/>
    <mergeCell ref="F172:H172"/>
    <mergeCell ref="F173:H173"/>
    <mergeCell ref="F174:H174"/>
    <mergeCell ref="J176:K179"/>
  </mergeCells>
  <pageMargins left="0.7" right="0.7" top="0.75" bottom="0.75" header="0.3" footer="0.3"/>
  <pageSetup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5CFA-1DBA-4C01-82C1-6FF068CC3C6F}">
  <dimension ref="A1:U240"/>
  <sheetViews>
    <sheetView topLeftCell="A95" workbookViewId="0">
      <selection activeCell="H203" sqref="H203"/>
    </sheetView>
  </sheetViews>
  <sheetFormatPr defaultRowHeight="12.75"/>
  <cols>
    <col min="3" max="3" width="35.42578125" bestFit="1" customWidth="1"/>
    <col min="4" max="4" width="37.28515625" bestFit="1" customWidth="1"/>
    <col min="5" max="5" width="15" bestFit="1" customWidth="1"/>
    <col min="6" max="6" width="25.28515625" customWidth="1"/>
    <col min="7" max="7" width="18.85546875" customWidth="1"/>
    <col min="8" max="8" width="18.5703125" customWidth="1"/>
    <col min="9" max="9" width="16.42578125" customWidth="1"/>
    <col min="10" max="10" width="20.7109375" customWidth="1"/>
    <col min="11" max="11" width="13.5703125" bestFit="1" customWidth="1"/>
    <col min="12" max="12" width="10.7109375" bestFit="1" customWidth="1"/>
    <col min="13" max="13" width="17.85546875" bestFit="1" customWidth="1"/>
    <col min="14" max="14" width="11.7109375" bestFit="1" customWidth="1"/>
    <col min="15" max="15" width="35.42578125" bestFit="1" customWidth="1"/>
    <col min="16" max="16" width="15.140625" bestFit="1" customWidth="1"/>
    <col min="17" max="18" width="12.28515625" bestFit="1" customWidth="1"/>
    <col min="19" max="19" width="12" customWidth="1"/>
    <col min="20" max="20" width="13.42578125" bestFit="1" customWidth="1"/>
    <col min="21" max="21" width="12.28515625" style="374" bestFit="1" customWidth="1"/>
    <col min="22" max="22" width="13.42578125" bestFit="1" customWidth="1"/>
  </cols>
  <sheetData>
    <row r="1" spans="21:21">
      <c r="U1" s="1644" t="s">
        <v>558</v>
      </c>
    </row>
    <row r="2" spans="21:21">
      <c r="U2" s="1643"/>
    </row>
    <row r="20" spans="8:20">
      <c r="K20" s="208"/>
      <c r="M20" s="303"/>
    </row>
    <row r="21" spans="8:20">
      <c r="M21" s="303"/>
    </row>
    <row r="23" spans="8:20">
      <c r="K23" s="302"/>
    </row>
    <row r="29" spans="8:20">
      <c r="H29" s="710"/>
      <c r="I29" s="711"/>
      <c r="J29" s="2"/>
      <c r="K29" s="701"/>
      <c r="L29" s="701"/>
      <c r="M29" s="701"/>
      <c r="N29" s="701"/>
      <c r="P29" s="2"/>
      <c r="Q29" s="701"/>
      <c r="R29" s="701"/>
      <c r="S29" s="701"/>
      <c r="T29" s="701"/>
    </row>
    <row r="30" spans="8:20">
      <c r="H30" s="711"/>
      <c r="I30" s="711"/>
      <c r="J30" s="2"/>
      <c r="K30" s="2"/>
      <c r="L30" s="2"/>
      <c r="M30" s="2"/>
      <c r="N30" s="2"/>
      <c r="P30" s="2"/>
      <c r="Q30" s="2"/>
      <c r="R30" s="2"/>
      <c r="S30" s="2"/>
      <c r="T30" s="2"/>
    </row>
    <row r="31" spans="8:20">
      <c r="H31" s="711"/>
      <c r="I31" s="711"/>
      <c r="J31" s="4"/>
      <c r="K31" s="5"/>
      <c r="L31" s="5"/>
      <c r="M31" s="5"/>
      <c r="N31" s="5"/>
      <c r="P31" s="4"/>
      <c r="Q31" s="5"/>
      <c r="R31" s="5"/>
      <c r="S31" s="5"/>
      <c r="T31" s="5"/>
    </row>
    <row r="32" spans="8:20">
      <c r="H32" s="711"/>
      <c r="I32" s="711"/>
      <c r="J32" s="4"/>
      <c r="K32" s="5"/>
      <c r="L32" s="5"/>
      <c r="M32" s="5"/>
      <c r="N32" s="5"/>
      <c r="P32" s="4"/>
      <c r="Q32" s="5"/>
      <c r="R32" s="5"/>
      <c r="S32" s="5"/>
      <c r="T32" s="5"/>
    </row>
    <row r="33" spans="8:20">
      <c r="H33" s="711"/>
      <c r="I33" s="711"/>
      <c r="J33" s="4"/>
      <c r="K33" s="5"/>
      <c r="L33" s="5"/>
      <c r="M33" s="5"/>
      <c r="N33" s="5"/>
      <c r="P33" s="4"/>
      <c r="Q33" s="5"/>
      <c r="R33" s="5"/>
      <c r="S33" s="5"/>
      <c r="T33" s="5"/>
    </row>
    <row r="34" spans="8:20">
      <c r="H34" s="711"/>
      <c r="I34" s="711"/>
      <c r="J34" s="4"/>
      <c r="K34" s="5"/>
      <c r="L34" s="5"/>
      <c r="M34" s="5"/>
      <c r="N34" s="5"/>
      <c r="P34" s="4"/>
      <c r="Q34" s="5"/>
      <c r="R34" s="5"/>
      <c r="S34" s="5"/>
      <c r="T34" s="5"/>
    </row>
    <row r="41" spans="8:20">
      <c r="K41">
        <v>10</v>
      </c>
    </row>
    <row r="42" spans="8:20">
      <c r="K42">
        <v>6</v>
      </c>
    </row>
    <row r="45" spans="8:20" ht="13.5" thickBot="1"/>
    <row r="46" spans="8:20">
      <c r="I46" s="1580"/>
      <c r="J46" s="357"/>
      <c r="K46" s="357"/>
      <c r="L46" s="357"/>
      <c r="M46" s="357"/>
      <c r="N46" s="357"/>
      <c r="O46" s="357"/>
      <c r="P46" s="357"/>
      <c r="Q46" s="357"/>
      <c r="R46" s="215"/>
    </row>
    <row r="47" spans="8:20" ht="14.25">
      <c r="I47" s="1581"/>
      <c r="K47" s="1582"/>
      <c r="L47" s="1582">
        <v>1</v>
      </c>
      <c r="M47" s="1582">
        <v>2</v>
      </c>
      <c r="N47" s="1582">
        <v>3</v>
      </c>
      <c r="O47" s="1583">
        <v>4</v>
      </c>
      <c r="P47" s="1583">
        <v>5</v>
      </c>
      <c r="R47" s="217"/>
    </row>
    <row r="48" spans="8:20" ht="14.25">
      <c r="I48" s="1581"/>
      <c r="K48" s="1582" t="s">
        <v>827</v>
      </c>
      <c r="L48" s="1582"/>
      <c r="M48" s="685">
        <v>1.1000000000000001</v>
      </c>
      <c r="N48" s="685">
        <v>1.1000000000000001</v>
      </c>
      <c r="O48" s="685">
        <v>1.1000000000000001</v>
      </c>
      <c r="P48" s="685">
        <v>1.1000000000000001</v>
      </c>
      <c r="R48" s="217"/>
    </row>
    <row r="49" spans="7:18" ht="14.25">
      <c r="G49" s="420" t="s">
        <v>603</v>
      </c>
      <c r="H49" s="421"/>
      <c r="I49" s="1581"/>
      <c r="K49" s="1582" t="s">
        <v>177</v>
      </c>
      <c r="L49" s="1584">
        <v>600</v>
      </c>
      <c r="M49" s="1584">
        <v>600</v>
      </c>
      <c r="N49" s="1584">
        <v>633</v>
      </c>
      <c r="O49" s="1584">
        <v>633</v>
      </c>
      <c r="P49" s="1584">
        <v>633</v>
      </c>
      <c r="R49" s="217"/>
    </row>
    <row r="50" spans="7:18" ht="14.25">
      <c r="G50" s="420" t="s">
        <v>602</v>
      </c>
      <c r="H50" s="421"/>
      <c r="I50" s="1581"/>
      <c r="K50" s="1585" t="s">
        <v>828</v>
      </c>
      <c r="L50" s="1582"/>
      <c r="M50" s="1582">
        <f>(M49-L49)/L49</f>
        <v>0</v>
      </c>
      <c r="N50" s="1582">
        <f>(N49-M49)/M49</f>
        <v>5.5E-2</v>
      </c>
      <c r="O50" s="1582">
        <f>(O49-N49)/N49</f>
        <v>0</v>
      </c>
      <c r="P50" s="1582">
        <f>(P49-O49)/O49</f>
        <v>0</v>
      </c>
      <c r="Q50" t="s">
        <v>836</v>
      </c>
      <c r="R50" s="217"/>
    </row>
    <row r="51" spans="7:18" ht="14.25">
      <c r="G51" s="420" t="s">
        <v>624</v>
      </c>
      <c r="H51" s="421"/>
      <c r="I51" s="1581"/>
      <c r="K51" s="1585" t="s">
        <v>829</v>
      </c>
      <c r="L51" s="1582"/>
      <c r="M51" s="1582">
        <f>M50/M48</f>
        <v>0</v>
      </c>
      <c r="N51" s="1582">
        <f>-N50/N48</f>
        <v>-4.9999999999999996E-2</v>
      </c>
      <c r="O51" s="1582">
        <f>O50/O48</f>
        <v>0</v>
      </c>
      <c r="P51" s="1582">
        <f>P50/P48</f>
        <v>0</v>
      </c>
      <c r="R51" s="217"/>
    </row>
    <row r="52" spans="7:18" ht="14.25">
      <c r="I52" s="1581"/>
      <c r="K52" s="1586" t="s">
        <v>220</v>
      </c>
      <c r="L52" s="1587">
        <v>225</v>
      </c>
      <c r="M52" s="1587">
        <f>L52*(1+M51)</f>
        <v>225</v>
      </c>
      <c r="N52" s="1588">
        <f>M52*(1+N51)</f>
        <v>213.75</v>
      </c>
      <c r="O52" s="1588">
        <f>N52*(1+O51)</f>
        <v>213.75</v>
      </c>
      <c r="P52" s="1588">
        <f>O52*(1+P51)</f>
        <v>213.75</v>
      </c>
      <c r="R52" s="217"/>
    </row>
    <row r="53" spans="7:18">
      <c r="I53" s="1581"/>
      <c r="K53" s="600"/>
      <c r="L53" s="600"/>
      <c r="M53" s="600"/>
      <c r="N53" s="600"/>
      <c r="O53" s="600"/>
      <c r="P53" s="600"/>
      <c r="R53" s="217"/>
    </row>
    <row r="54" spans="7:18">
      <c r="I54" s="1581"/>
      <c r="N54" s="255"/>
      <c r="R54" s="217"/>
    </row>
    <row r="55" spans="7:18">
      <c r="I55" s="1581"/>
      <c r="R55" s="217"/>
    </row>
    <row r="56" spans="7:18">
      <c r="I56" s="1581"/>
      <c r="R56" s="217"/>
    </row>
    <row r="57" spans="7:18">
      <c r="I57" s="1723" t="s">
        <v>1520</v>
      </c>
      <c r="J57" s="1724"/>
      <c r="K57" s="1724"/>
      <c r="L57" s="1724"/>
      <c r="M57" s="1724"/>
      <c r="N57" s="1724"/>
      <c r="O57" s="1724"/>
      <c r="P57" s="1724"/>
      <c r="Q57" s="1724"/>
      <c r="R57" s="1725"/>
    </row>
    <row r="58" spans="7:18" ht="20.25" customHeight="1">
      <c r="I58" s="1723"/>
      <c r="J58" s="1724"/>
      <c r="K58" s="1724"/>
      <c r="L58" s="1724"/>
      <c r="M58" s="1724"/>
      <c r="N58" s="1724"/>
      <c r="O58" s="1724"/>
      <c r="P58" s="1724"/>
      <c r="Q58" s="1724"/>
      <c r="R58" s="1725"/>
    </row>
    <row r="59" spans="7:18">
      <c r="I59" s="1721" t="s">
        <v>1521</v>
      </c>
      <c r="J59" s="1722"/>
      <c r="K59" s="1722"/>
      <c r="L59" s="1589">
        <f>((N49-M49)/M49)/((N52-M52)/M52)</f>
        <v>-1.0999999999999999</v>
      </c>
      <c r="M59" s="1722" t="s">
        <v>1522</v>
      </c>
      <c r="N59" s="1722"/>
      <c r="O59" s="663">
        <f>ABS(L59)</f>
        <v>1.0999999999999999</v>
      </c>
      <c r="R59" s="217"/>
    </row>
    <row r="60" spans="7:18" ht="13.5" thickBot="1">
      <c r="I60" s="1590"/>
      <c r="J60" s="362"/>
      <c r="K60" s="362"/>
      <c r="L60" s="362"/>
      <c r="M60" s="362"/>
      <c r="N60" s="362"/>
      <c r="O60" s="362"/>
      <c r="P60" s="362"/>
      <c r="Q60" s="362"/>
      <c r="R60" s="1591"/>
    </row>
    <row r="63" spans="7:18">
      <c r="G63" s="351"/>
    </row>
    <row r="66" spans="6:19" ht="13.5" thickBot="1"/>
    <row r="67" spans="6:19" ht="15" thickBot="1">
      <c r="H67" s="1703" t="s">
        <v>576</v>
      </c>
      <c r="I67" s="1704"/>
      <c r="J67" s="1704"/>
      <c r="K67" s="1704"/>
      <c r="L67" s="1704"/>
      <c r="M67" s="1704"/>
      <c r="N67" s="1704"/>
      <c r="O67" s="1704"/>
      <c r="P67" s="1704"/>
      <c r="Q67" s="1705"/>
      <c r="R67" s="384"/>
      <c r="S67" s="384"/>
    </row>
    <row r="68" spans="6:19" ht="15">
      <c r="H68" s="401" t="s">
        <v>577</v>
      </c>
      <c r="I68" s="402" t="s">
        <v>578</v>
      </c>
      <c r="J68" s="403" t="s">
        <v>579</v>
      </c>
      <c r="K68" s="403" t="s">
        <v>102</v>
      </c>
      <c r="L68" s="403" t="s">
        <v>580</v>
      </c>
      <c r="M68" s="403" t="s">
        <v>581</v>
      </c>
      <c r="N68" s="403" t="s">
        <v>582</v>
      </c>
      <c r="O68" s="404" t="s">
        <v>583</v>
      </c>
      <c r="P68" s="405" t="s">
        <v>584</v>
      </c>
      <c r="Q68" s="401" t="s">
        <v>585</v>
      </c>
      <c r="R68" s="384"/>
      <c r="S68" s="401" t="s">
        <v>586</v>
      </c>
    </row>
    <row r="69" spans="6:19" ht="14.25">
      <c r="H69" s="406" t="s">
        <v>598</v>
      </c>
      <c r="I69" s="407">
        <v>40.5</v>
      </c>
      <c r="J69" s="408" t="s">
        <v>591</v>
      </c>
      <c r="K69" s="409"/>
      <c r="L69" s="409">
        <v>0</v>
      </c>
      <c r="M69" s="410">
        <f>1-L69</f>
        <v>1</v>
      </c>
      <c r="N69" s="411">
        <v>0</v>
      </c>
      <c r="O69" s="408">
        <v>1</v>
      </c>
      <c r="P69" s="412">
        <f>O69*I69*(1+K69)</f>
        <v>40.5</v>
      </c>
      <c r="Q69" s="1706">
        <f>SUM(P69:P73)</f>
        <v>94</v>
      </c>
      <c r="R69" s="1717" t="s">
        <v>588</v>
      </c>
      <c r="S69" s="1718">
        <f>SUM(Q69,R73)</f>
        <v>94</v>
      </c>
    </row>
    <row r="70" spans="6:19" ht="14.25">
      <c r="H70" s="406" t="s">
        <v>599</v>
      </c>
      <c r="I70" s="407">
        <v>25.4</v>
      </c>
      <c r="J70" s="408" t="s">
        <v>591</v>
      </c>
      <c r="K70" s="409">
        <v>0</v>
      </c>
      <c r="L70" s="409"/>
      <c r="M70" s="410">
        <f>1-L70</f>
        <v>1</v>
      </c>
      <c r="N70" s="411">
        <v>0</v>
      </c>
      <c r="O70" s="408">
        <v>1</v>
      </c>
      <c r="P70" s="412">
        <f>O70*I70*(1+K70)</f>
        <v>25.4</v>
      </c>
      <c r="Q70" s="1707"/>
      <c r="R70" s="1717"/>
      <c r="S70" s="1718"/>
    </row>
    <row r="71" spans="6:19" ht="14.25">
      <c r="H71" s="406" t="s">
        <v>600</v>
      </c>
      <c r="I71" s="407">
        <v>7.6</v>
      </c>
      <c r="J71" s="408" t="s">
        <v>591</v>
      </c>
      <c r="K71" s="409"/>
      <c r="L71" s="409"/>
      <c r="M71" s="410">
        <f>1-L71</f>
        <v>1</v>
      </c>
      <c r="N71" s="411">
        <v>0</v>
      </c>
      <c r="O71" s="408">
        <v>1</v>
      </c>
      <c r="P71" s="412">
        <f>O71*I71*(1+K71)</f>
        <v>7.6</v>
      </c>
      <c r="Q71" s="1707"/>
      <c r="R71" s="1717"/>
      <c r="S71" s="1718"/>
    </row>
    <row r="72" spans="6:19" ht="14.25">
      <c r="H72" s="406" t="s">
        <v>181</v>
      </c>
      <c r="I72" s="407">
        <v>20.5</v>
      </c>
      <c r="J72" s="408" t="s">
        <v>591</v>
      </c>
      <c r="K72" s="409"/>
      <c r="L72" s="409"/>
      <c r="M72" s="410">
        <f>1-L72</f>
        <v>1</v>
      </c>
      <c r="N72" s="411">
        <v>0</v>
      </c>
      <c r="O72" s="408">
        <v>1</v>
      </c>
      <c r="P72" s="412">
        <f>O72*I72*(1+K72)</f>
        <v>20.5</v>
      </c>
      <c r="Q72" s="1707"/>
      <c r="R72" s="1717"/>
      <c r="S72" s="1718"/>
    </row>
    <row r="73" spans="6:19" ht="15.75" thickBot="1">
      <c r="H73" s="414"/>
      <c r="I73" s="415"/>
      <c r="J73" s="416"/>
      <c r="K73" s="417"/>
      <c r="L73" s="417"/>
      <c r="M73" s="410">
        <f>1-L73</f>
        <v>1</v>
      </c>
      <c r="N73" s="411">
        <f>I73/M73</f>
        <v>0</v>
      </c>
      <c r="O73" s="416"/>
      <c r="P73" s="412">
        <f>O73*I73*(1+K73)</f>
        <v>0</v>
      </c>
      <c r="Q73" s="1708"/>
      <c r="R73" s="418">
        <v>0</v>
      </c>
      <c r="S73" s="1718"/>
    </row>
    <row r="74" spans="6:19" ht="14.25">
      <c r="F74" s="351" t="s">
        <v>1219</v>
      </c>
      <c r="H74" s="384"/>
      <c r="I74" s="419" t="s">
        <v>595</v>
      </c>
      <c r="J74" s="384"/>
      <c r="K74" s="1719" t="s">
        <v>596</v>
      </c>
      <c r="L74" s="1720"/>
      <c r="O74" s="419" t="s">
        <v>595</v>
      </c>
      <c r="P74" s="384"/>
      <c r="Q74" s="384"/>
      <c r="R74" s="419" t="s">
        <v>597</v>
      </c>
      <c r="S74" s="384"/>
    </row>
    <row r="90" spans="3:9" ht="13.5" customHeight="1"/>
    <row r="94" spans="3:9">
      <c r="G94" s="717"/>
      <c r="H94" s="717"/>
      <c r="I94" s="717"/>
    </row>
    <row r="95" spans="3:9">
      <c r="C95" s="272" t="s">
        <v>365</v>
      </c>
      <c r="D95" s="25"/>
      <c r="E95" s="625">
        <v>600</v>
      </c>
      <c r="F95" s="625">
        <f>L49</f>
        <v>600</v>
      </c>
      <c r="G95" s="625">
        <v>633</v>
      </c>
      <c r="H95" s="625">
        <f>N49</f>
        <v>633</v>
      </c>
      <c r="I95" s="625">
        <f>O49</f>
        <v>633</v>
      </c>
    </row>
    <row r="96" spans="3:9">
      <c r="C96" s="27" t="s">
        <v>361</v>
      </c>
      <c r="D96" s="27" t="s">
        <v>112</v>
      </c>
      <c r="E96" s="27" t="s">
        <v>113</v>
      </c>
      <c r="F96" s="27" t="s">
        <v>114</v>
      </c>
      <c r="G96" s="27" t="s">
        <v>115</v>
      </c>
      <c r="H96" s="27" t="s">
        <v>116</v>
      </c>
      <c r="I96" s="27" t="s">
        <v>117</v>
      </c>
    </row>
    <row r="97" spans="3:15">
      <c r="C97" s="269" t="s">
        <v>118</v>
      </c>
      <c r="D97" s="270"/>
      <c r="E97" s="270"/>
      <c r="F97" s="270"/>
      <c r="G97" s="270"/>
      <c r="H97" s="270"/>
      <c r="I97" s="270"/>
    </row>
    <row r="98" spans="3:15">
      <c r="C98" s="25" t="s">
        <v>356</v>
      </c>
      <c r="D98" s="26"/>
      <c r="E98" s="26">
        <f>E95*225</f>
        <v>135000</v>
      </c>
      <c r="F98" s="26">
        <f>F95*225</f>
        <v>135000</v>
      </c>
      <c r="G98" s="26">
        <f>G95*(225*0.95)</f>
        <v>135303.75</v>
      </c>
      <c r="H98" s="26">
        <f>H95*(225*0.95)</f>
        <v>135303.75</v>
      </c>
      <c r="I98" s="26">
        <f>I95*(225*0.95)</f>
        <v>135303.75</v>
      </c>
    </row>
    <row r="99" spans="3:15">
      <c r="C99" s="25" t="s">
        <v>119</v>
      </c>
      <c r="D99" s="26"/>
      <c r="E99" s="26"/>
      <c r="F99" s="26"/>
      <c r="G99" s="26"/>
      <c r="H99" s="26"/>
      <c r="I99" s="26"/>
    </row>
    <row r="100" spans="3:15">
      <c r="C100" s="25" t="s">
        <v>332</v>
      </c>
      <c r="D100" s="26"/>
      <c r="E100" s="26"/>
      <c r="F100" s="26"/>
      <c r="G100" s="26"/>
      <c r="H100" s="26"/>
      <c r="I100" s="26">
        <f>D127*-1</f>
        <v>20000</v>
      </c>
    </row>
    <row r="101" spans="3:15">
      <c r="C101" s="25" t="s">
        <v>447</v>
      </c>
      <c r="D101" s="26"/>
      <c r="E101" s="26"/>
      <c r="F101" s="26"/>
      <c r="G101" s="26"/>
      <c r="H101" s="26"/>
      <c r="I101" s="280">
        <f>D128*0.3*-1</f>
        <v>12000</v>
      </c>
      <c r="J101" s="351"/>
    </row>
    <row r="102" spans="3:15">
      <c r="C102" s="25" t="s">
        <v>573</v>
      </c>
      <c r="D102" s="26"/>
      <c r="E102" s="26"/>
      <c r="F102" s="26"/>
      <c r="G102" s="26"/>
      <c r="H102" s="26"/>
      <c r="I102" s="280">
        <f>D129*0.4*-1</f>
        <v>12000</v>
      </c>
      <c r="J102" s="351"/>
    </row>
    <row r="103" spans="3:15">
      <c r="C103" s="269" t="s">
        <v>121</v>
      </c>
      <c r="D103" s="270"/>
      <c r="E103" s="270"/>
      <c r="F103" s="270"/>
      <c r="G103" s="270"/>
      <c r="H103" s="270"/>
      <c r="I103" s="270"/>
    </row>
    <row r="104" spans="3:15">
      <c r="C104" s="399" t="s">
        <v>122</v>
      </c>
      <c r="D104" s="26"/>
      <c r="E104" s="26">
        <f>-E210</f>
        <v>-11354.617733760006</v>
      </c>
      <c r="F104" s="26">
        <f>-E211</f>
        <v>-9589.0349514642658</v>
      </c>
      <c r="G104" s="26">
        <f>-E212</f>
        <v>-7600.7019739432289</v>
      </c>
      <c r="H104" s="26">
        <f>-E213</f>
        <v>-5361.516097675747</v>
      </c>
      <c r="I104" s="26">
        <f>-E214</f>
        <v>-2839.8291140765787</v>
      </c>
    </row>
    <row r="105" spans="3:15">
      <c r="C105" s="47" t="s">
        <v>441</v>
      </c>
      <c r="D105" s="26"/>
      <c r="E105" s="26">
        <v>0</v>
      </c>
      <c r="F105" s="26">
        <v>0</v>
      </c>
      <c r="G105" s="26">
        <v>0</v>
      </c>
      <c r="H105" s="26">
        <v>0</v>
      </c>
      <c r="I105" s="26">
        <v>0</v>
      </c>
    </row>
    <row r="106" spans="3:15">
      <c r="C106" s="47" t="s">
        <v>442</v>
      </c>
      <c r="D106" s="26"/>
      <c r="E106" s="26">
        <v>0</v>
      </c>
      <c r="F106" s="26">
        <v>0</v>
      </c>
      <c r="G106" s="26">
        <v>0</v>
      </c>
      <c r="H106" s="26">
        <v>0</v>
      </c>
      <c r="I106" s="26">
        <v>0</v>
      </c>
    </row>
    <row r="107" spans="3:15" ht="15.75" customHeight="1">
      <c r="C107" s="446" t="s">
        <v>385</v>
      </c>
      <c r="D107" s="118"/>
      <c r="E107" s="118">
        <f>E95*$S$69*-1</f>
        <v>-56400</v>
      </c>
      <c r="F107" s="118">
        <f>F95*$S$69*-1</f>
        <v>-56400</v>
      </c>
      <c r="G107" s="118">
        <f>G95*$S$69*-1</f>
        <v>-59502</v>
      </c>
      <c r="H107" s="118">
        <f>H95*$S$69*-1</f>
        <v>-59502</v>
      </c>
      <c r="I107" s="118">
        <f>I95*$S$69*-1</f>
        <v>-59502</v>
      </c>
      <c r="J107" s="351" t="s">
        <v>705</v>
      </c>
    </row>
    <row r="108" spans="3:15" ht="30" customHeight="1">
      <c r="C108" s="1715" t="s">
        <v>601</v>
      </c>
      <c r="D108" s="1667"/>
      <c r="E108" s="1667">
        <f>-3000*12-1000*12</f>
        <v>-48000</v>
      </c>
      <c r="F108" s="1667">
        <f>-3000*12-1000*12</f>
        <v>-48000</v>
      </c>
      <c r="G108" s="1667">
        <f>-3000*12-1000*12</f>
        <v>-48000</v>
      </c>
      <c r="H108" s="1667">
        <f>-3000*12-1000*12</f>
        <v>-48000</v>
      </c>
      <c r="I108" s="1667">
        <f>-3000*12-1000*12</f>
        <v>-48000</v>
      </c>
      <c r="J108" s="1655"/>
      <c r="K108" s="1655"/>
      <c r="L108" s="1655"/>
      <c r="M108" s="1655"/>
      <c r="N108" s="1655"/>
      <c r="O108" s="1655"/>
    </row>
    <row r="109" spans="3:15" ht="30" customHeight="1">
      <c r="C109" s="1716"/>
      <c r="D109" s="1667"/>
      <c r="E109" s="1667"/>
      <c r="F109" s="1667"/>
      <c r="G109" s="1667"/>
      <c r="H109" s="1667"/>
      <c r="I109" s="1667"/>
      <c r="J109" s="1665"/>
      <c r="K109" s="1665"/>
      <c r="L109" s="1665"/>
      <c r="M109" s="1665"/>
      <c r="N109" s="1665"/>
      <c r="O109" s="1665"/>
    </row>
    <row r="110" spans="3:15" ht="30" customHeight="1">
      <c r="C110" s="198"/>
      <c r="D110" s="103"/>
      <c r="E110" s="103"/>
      <c r="F110" s="103"/>
      <c r="G110" s="103"/>
      <c r="H110" s="103"/>
      <c r="I110" s="103"/>
      <c r="J110" s="338"/>
      <c r="K110" s="338"/>
      <c r="L110" s="338"/>
      <c r="M110" s="338"/>
      <c r="N110" s="338"/>
      <c r="O110" s="338"/>
    </row>
    <row r="111" spans="3:15" ht="15.75" customHeight="1">
      <c r="C111" s="339"/>
      <c r="E111" s="297"/>
      <c r="F111" s="297"/>
      <c r="G111" s="297"/>
      <c r="H111" s="297"/>
      <c r="I111" s="297"/>
    </row>
    <row r="112" spans="3:15">
      <c r="C112" s="267" t="s">
        <v>125</v>
      </c>
      <c r="D112" s="268"/>
      <c r="E112" s="268"/>
      <c r="F112" s="268"/>
      <c r="G112" s="268"/>
      <c r="H112" s="268"/>
      <c r="I112" s="268"/>
    </row>
    <row r="113" spans="3:10">
      <c r="C113" s="399" t="s">
        <v>126</v>
      </c>
      <c r="D113" s="26"/>
      <c r="E113" s="26">
        <f>D126/5</f>
        <v>0</v>
      </c>
      <c r="F113" s="26">
        <f>D126/5</f>
        <v>0</v>
      </c>
      <c r="G113" s="26">
        <f>D126/5</f>
        <v>0</v>
      </c>
      <c r="H113" s="26">
        <f>D126/5</f>
        <v>0</v>
      </c>
      <c r="I113" s="26">
        <f>D126/5</f>
        <v>0</v>
      </c>
    </row>
    <row r="114" spans="3:10">
      <c r="C114" s="399" t="s">
        <v>127</v>
      </c>
      <c r="D114" s="26"/>
      <c r="E114" s="26">
        <f>$D$128/20</f>
        <v>-2000</v>
      </c>
      <c r="F114" s="26">
        <f>$D$128/20</f>
        <v>-2000</v>
      </c>
      <c r="G114" s="26">
        <f>$D$128/20</f>
        <v>-2000</v>
      </c>
      <c r="H114" s="26">
        <f>$D$128/20</f>
        <v>-2000</v>
      </c>
      <c r="I114" s="26">
        <f>$D$128/20</f>
        <v>-2000</v>
      </c>
    </row>
    <row r="115" spans="3:10">
      <c r="C115" s="399" t="s">
        <v>574</v>
      </c>
      <c r="D115" s="26"/>
      <c r="E115" s="26">
        <f>$D$129/10</f>
        <v>-3000</v>
      </c>
      <c r="F115" s="26">
        <f>$D$129/10</f>
        <v>-3000</v>
      </c>
      <c r="G115" s="26">
        <f>$D$129/10</f>
        <v>-3000</v>
      </c>
      <c r="H115" s="26">
        <f>$D$129/10</f>
        <v>-3000</v>
      </c>
      <c r="I115" s="26">
        <f>$D$129/10</f>
        <v>-3000</v>
      </c>
    </row>
    <row r="116" spans="3:10">
      <c r="C116" s="25" t="s">
        <v>129</v>
      </c>
      <c r="D116" s="26"/>
      <c r="E116" s="26"/>
      <c r="F116" s="26"/>
      <c r="G116" s="26"/>
      <c r="H116" s="26"/>
      <c r="I116" s="26"/>
    </row>
    <row r="117" spans="3:10">
      <c r="C117" s="399" t="s">
        <v>334</v>
      </c>
      <c r="D117" s="26"/>
      <c r="E117" s="26"/>
      <c r="F117" s="26"/>
      <c r="G117" s="26"/>
      <c r="H117" s="26"/>
      <c r="I117" s="26">
        <f>D128+SUM(E114:I114)*-1</f>
        <v>-30000</v>
      </c>
    </row>
    <row r="118" spans="3:10">
      <c r="C118" s="399" t="s">
        <v>575</v>
      </c>
      <c r="D118" s="26"/>
      <c r="E118" s="26"/>
      <c r="F118" s="26"/>
      <c r="G118" s="26"/>
      <c r="H118" s="26"/>
      <c r="I118" s="26">
        <f>D129+SUM(E115:I115)*-1</f>
        <v>-15000</v>
      </c>
    </row>
    <row r="119" spans="3:10" ht="14.25">
      <c r="C119" s="31" t="s">
        <v>130</v>
      </c>
      <c r="D119" s="32"/>
      <c r="E119" s="32">
        <f>SUM(E97:E118)</f>
        <v>14245.382266239991</v>
      </c>
      <c r="F119" s="32">
        <f>SUM(F97:F118)</f>
        <v>16010.965048535727</v>
      </c>
      <c r="G119" s="32">
        <f>SUM(G97:G118)</f>
        <v>15201.048026056771</v>
      </c>
      <c r="H119" s="32">
        <f>SUM(H97:H118)</f>
        <v>17440.233902324253</v>
      </c>
      <c r="I119" s="32">
        <f>SUM(I97:I118)</f>
        <v>18961.920885923435</v>
      </c>
    </row>
    <row r="120" spans="3:10">
      <c r="C120" s="33" t="s">
        <v>131</v>
      </c>
      <c r="D120" s="26"/>
      <c r="E120" s="26">
        <f>E119*0.1</f>
        <v>1424.5382266239992</v>
      </c>
      <c r="F120" s="26">
        <f>F119*0.1</f>
        <v>1601.0965048535727</v>
      </c>
      <c r="G120" s="26">
        <f>G119*0.1</f>
        <v>1520.1048026056772</v>
      </c>
      <c r="H120" s="26">
        <f>H119*0.1</f>
        <v>1744.0233902324253</v>
      </c>
      <c r="I120" s="26">
        <f>I119*0.1</f>
        <v>1896.1920885923437</v>
      </c>
    </row>
    <row r="121" spans="3:10" ht="28.5">
      <c r="C121" s="34" t="s">
        <v>132</v>
      </c>
      <c r="D121" s="35"/>
      <c r="E121" s="35">
        <f>E119-E120</f>
        <v>12820.844039615991</v>
      </c>
      <c r="F121" s="35">
        <f>F119-F120</f>
        <v>14409.868543682154</v>
      </c>
      <c r="G121" s="35">
        <f>G119-G120</f>
        <v>13680.943223451093</v>
      </c>
      <c r="H121" s="35">
        <f>H119-H120</f>
        <v>15696.210512091828</v>
      </c>
      <c r="I121" s="35">
        <f>I119-I120</f>
        <v>17065.728797331092</v>
      </c>
    </row>
    <row r="122" spans="3:10">
      <c r="C122" s="33" t="s">
        <v>133</v>
      </c>
      <c r="D122" s="26"/>
      <c r="E122" s="26">
        <f>-SUM(E113:E118)</f>
        <v>5000</v>
      </c>
      <c r="F122" s="26">
        <f>-SUM(F113:F118)</f>
        <v>5000</v>
      </c>
      <c r="G122" s="26">
        <f>-SUM(G113:G118)</f>
        <v>5000</v>
      </c>
      <c r="H122" s="26">
        <f>-SUM(H113:H118)</f>
        <v>5000</v>
      </c>
      <c r="I122" s="118">
        <f>-SUM(I113:I118)</f>
        <v>50000</v>
      </c>
    </row>
    <row r="123" spans="3:10">
      <c r="C123" s="447" t="s">
        <v>408</v>
      </c>
      <c r="D123" s="26">
        <v>-3905</v>
      </c>
      <c r="E123" s="26">
        <v>0</v>
      </c>
      <c r="F123" s="26">
        <v>0</v>
      </c>
      <c r="G123" s="26">
        <v>0</v>
      </c>
      <c r="H123" s="211"/>
      <c r="I123" s="342"/>
      <c r="J123" s="351" t="s">
        <v>837</v>
      </c>
    </row>
    <row r="124" spans="3:10">
      <c r="C124" s="399" t="s">
        <v>134</v>
      </c>
      <c r="D124" s="26"/>
      <c r="E124" s="26">
        <f>-F210</f>
        <v>-13994.522240423958</v>
      </c>
      <c r="F124" s="26">
        <f>-F211</f>
        <v>-15760.105022719697</v>
      </c>
      <c r="G124" s="26">
        <f>-F212</f>
        <v>-17748.438000240734</v>
      </c>
      <c r="H124" s="26">
        <f>-F213</f>
        <v>-19987.623876508216</v>
      </c>
      <c r="I124" s="103">
        <f>-F214</f>
        <v>-22509.310860107384</v>
      </c>
    </row>
    <row r="125" spans="3:10">
      <c r="C125" s="399" t="s">
        <v>135</v>
      </c>
      <c r="D125" s="26">
        <v>90000</v>
      </c>
      <c r="E125" s="26"/>
      <c r="F125" s="26"/>
      <c r="G125" s="26"/>
      <c r="H125" s="26"/>
      <c r="I125" s="26"/>
    </row>
    <row r="126" spans="3:10">
      <c r="D126" s="26"/>
      <c r="E126" s="26"/>
      <c r="F126" s="26"/>
      <c r="G126" s="26"/>
      <c r="H126" s="26"/>
      <c r="I126" s="26"/>
    </row>
    <row r="127" spans="3:10">
      <c r="C127" s="399" t="s">
        <v>404</v>
      </c>
      <c r="D127" s="26">
        <v>-20000</v>
      </c>
      <c r="E127" s="26"/>
      <c r="F127" s="26"/>
      <c r="G127" s="26"/>
      <c r="H127" s="26"/>
      <c r="I127" s="26"/>
    </row>
    <row r="128" spans="3:10">
      <c r="C128" s="400" t="s">
        <v>571</v>
      </c>
      <c r="D128" s="26">
        <v>-40000</v>
      </c>
      <c r="E128" s="26"/>
      <c r="F128" s="26"/>
      <c r="G128" s="26"/>
      <c r="H128" s="26"/>
      <c r="I128" s="26"/>
    </row>
    <row r="129" spans="3:17">
      <c r="C129" s="400" t="s">
        <v>572</v>
      </c>
      <c r="D129" s="26">
        <v>-30000</v>
      </c>
      <c r="E129" s="26"/>
      <c r="F129" s="26"/>
      <c r="G129" s="26"/>
      <c r="H129" s="26"/>
      <c r="I129" s="26"/>
    </row>
    <row r="130" spans="3:17">
      <c r="C130" s="25" t="s">
        <v>445</v>
      </c>
      <c r="D130" s="26"/>
      <c r="E130" s="26"/>
      <c r="F130" s="26"/>
      <c r="G130" s="26"/>
      <c r="H130" s="26"/>
      <c r="I130" s="26"/>
    </row>
    <row r="131" spans="3:17">
      <c r="C131" s="286" t="s">
        <v>412</v>
      </c>
      <c r="D131" s="26"/>
      <c r="E131" s="26"/>
      <c r="F131" s="26"/>
      <c r="G131" s="26"/>
      <c r="H131" s="26"/>
      <c r="I131" s="26">
        <f>D123*-1</f>
        <v>3905</v>
      </c>
    </row>
    <row r="132" spans="3:17" ht="14.25">
      <c r="C132" s="37" t="s">
        <v>139</v>
      </c>
      <c r="D132" s="35">
        <f>SUM(D121:D130)</f>
        <v>-3905</v>
      </c>
      <c r="E132" s="35">
        <f>SUM(E121:E131)</f>
        <v>3826.3217991920355</v>
      </c>
      <c r="F132" s="35">
        <f>SUM(F121:F131)</f>
        <v>3649.7635209624568</v>
      </c>
      <c r="G132" s="35">
        <f>SUM(G121:G131)</f>
        <v>932.50522321035896</v>
      </c>
      <c r="H132" s="35">
        <f>SUM(H121:H131)</f>
        <v>708.5866355836115</v>
      </c>
      <c r="I132" s="35">
        <f>SUM(I121:I131)</f>
        <v>48461.417937223705</v>
      </c>
      <c r="J132" s="375">
        <f>NPV(C154,E132:I132)+D132</f>
        <v>25797.361670181297</v>
      </c>
      <c r="K132" s="376" t="s">
        <v>29</v>
      </c>
    </row>
    <row r="133" spans="3:17">
      <c r="C133" s="3"/>
      <c r="E133" s="5"/>
      <c r="F133" s="5"/>
      <c r="G133" s="5"/>
      <c r="H133" s="5"/>
      <c r="I133" s="5"/>
    </row>
    <row r="134" spans="3:17">
      <c r="E134" s="663">
        <v>1</v>
      </c>
      <c r="F134" s="663" t="s">
        <v>625</v>
      </c>
      <c r="G134" s="663"/>
      <c r="H134" s="259"/>
      <c r="I134" s="259"/>
    </row>
    <row r="135" spans="3:17">
      <c r="D135" s="351"/>
      <c r="E135" s="663">
        <v>2</v>
      </c>
      <c r="F135" s="663" t="s">
        <v>626</v>
      </c>
      <c r="G135" s="663"/>
      <c r="H135" s="259"/>
      <c r="I135" s="259"/>
      <c r="K135" s="274"/>
    </row>
    <row r="136" spans="3:17">
      <c r="E136" s="663">
        <v>3</v>
      </c>
      <c r="F136" s="663" t="s">
        <v>627</v>
      </c>
      <c r="G136" s="663"/>
      <c r="H136" s="259"/>
      <c r="I136" s="259"/>
    </row>
    <row r="137" spans="3:17" ht="12.75" customHeight="1">
      <c r="D137" s="351"/>
      <c r="F137" s="850" t="s">
        <v>984</v>
      </c>
      <c r="G137" s="850"/>
      <c r="N137" s="709"/>
      <c r="O137" s="709"/>
      <c r="P137" s="709"/>
      <c r="Q137" s="709"/>
    </row>
    <row r="138" spans="3:17" ht="15">
      <c r="F138" s="850" t="s">
        <v>985</v>
      </c>
      <c r="G138" s="850"/>
      <c r="N138" s="709"/>
      <c r="O138" s="709"/>
      <c r="P138" s="709"/>
      <c r="Q138" s="709"/>
    </row>
    <row r="139" spans="3:17" ht="15">
      <c r="F139" s="851"/>
      <c r="N139" s="709"/>
      <c r="O139" s="709"/>
      <c r="P139" s="709"/>
      <c r="Q139" s="709"/>
    </row>
    <row r="140" spans="3:17" ht="15">
      <c r="F140" s="850" t="s">
        <v>986</v>
      </c>
      <c r="G140" s="850"/>
      <c r="N140" s="709"/>
      <c r="O140" s="709"/>
      <c r="P140" s="709"/>
      <c r="Q140" s="709"/>
    </row>
    <row r="141" spans="3:17" ht="15">
      <c r="F141" s="846" t="s">
        <v>982</v>
      </c>
      <c r="G141" s="847">
        <f>IRR(D132:I132)</f>
        <v>1.1148079100445387</v>
      </c>
      <c r="N141" s="709"/>
      <c r="O141" s="709"/>
      <c r="P141" s="709"/>
      <c r="Q141" s="709"/>
    </row>
    <row r="142" spans="3:17">
      <c r="N142" s="709"/>
      <c r="O142" s="709"/>
      <c r="P142" s="709"/>
      <c r="Q142" s="709"/>
    </row>
    <row r="143" spans="3:17" ht="15.75">
      <c r="E143" s="663">
        <v>4</v>
      </c>
      <c r="F143" s="854" t="s">
        <v>983</v>
      </c>
      <c r="G143" s="854">
        <f>(E132+F132+G132+H132+I132+D132)/(D132*-1)</f>
        <v>13.744838698123475</v>
      </c>
      <c r="H143" s="669" t="s">
        <v>987</v>
      </c>
      <c r="I143" s="669"/>
      <c r="N143" s="709"/>
      <c r="O143" s="709"/>
      <c r="P143" s="709"/>
      <c r="Q143" s="709"/>
    </row>
    <row r="144" spans="3:17">
      <c r="H144" s="4"/>
      <c r="I144" s="4"/>
      <c r="J144" s="4"/>
      <c r="N144" s="709"/>
      <c r="O144" s="709"/>
      <c r="P144" s="709"/>
      <c r="Q144" s="709"/>
    </row>
    <row r="145" spans="1:20">
      <c r="H145" s="4"/>
      <c r="I145" s="712"/>
      <c r="J145" s="3"/>
      <c r="N145" s="709"/>
      <c r="O145" s="709"/>
      <c r="P145" s="709"/>
      <c r="Q145" s="709"/>
    </row>
    <row r="146" spans="1:20">
      <c r="H146" s="4"/>
      <c r="I146" s="712"/>
      <c r="J146" s="3"/>
      <c r="N146" s="709"/>
      <c r="O146" s="709"/>
      <c r="P146" s="709"/>
      <c r="Q146" s="709"/>
    </row>
    <row r="147" spans="1:20">
      <c r="H147" s="4"/>
      <c r="I147" s="712"/>
      <c r="J147" s="3"/>
      <c r="N147" s="709"/>
      <c r="O147" s="709"/>
      <c r="P147" s="709"/>
      <c r="Q147" s="709"/>
    </row>
    <row r="148" spans="1:20">
      <c r="H148" s="2"/>
      <c r="I148" s="1"/>
      <c r="J148" s="4"/>
      <c r="N148" s="709"/>
      <c r="O148" s="709"/>
      <c r="P148" s="709"/>
      <c r="Q148" s="709"/>
    </row>
    <row r="149" spans="1:20">
      <c r="N149" s="709"/>
      <c r="O149" s="709"/>
      <c r="P149" s="709"/>
      <c r="Q149" s="709"/>
    </row>
    <row r="150" spans="1:20" ht="15">
      <c r="H150" s="713"/>
      <c r="I150" s="714"/>
      <c r="N150" s="709"/>
      <c r="O150" s="709"/>
      <c r="P150" s="709"/>
      <c r="Q150" s="709"/>
    </row>
    <row r="151" spans="1:20" ht="15">
      <c r="H151" s="713"/>
      <c r="I151" s="714"/>
      <c r="J151" s="347"/>
      <c r="N151" s="709"/>
      <c r="O151" s="709"/>
      <c r="P151" s="709"/>
      <c r="Q151" s="709"/>
    </row>
    <row r="152" spans="1:20" ht="15">
      <c r="H152" s="713"/>
      <c r="I152" s="714"/>
      <c r="J152" s="347"/>
      <c r="N152" s="709"/>
      <c r="O152" s="709"/>
      <c r="P152" s="709"/>
      <c r="Q152" s="709"/>
    </row>
    <row r="153" spans="1:20" ht="15.75" thickBot="1">
      <c r="H153" s="713"/>
      <c r="I153" s="714"/>
      <c r="N153" s="709"/>
      <c r="O153" s="709"/>
      <c r="P153" s="709"/>
      <c r="Q153" s="709"/>
    </row>
    <row r="154" spans="1:20" ht="15">
      <c r="B154" s="40" t="s">
        <v>140</v>
      </c>
      <c r="C154" s="285">
        <f>C162*C156+C161*C163*(1-C160)</f>
        <v>0.16339999999999999</v>
      </c>
      <c r="D154" s="351"/>
      <c r="H154" s="713"/>
      <c r="I154" s="714"/>
      <c r="N154" s="709"/>
      <c r="O154" s="709"/>
      <c r="P154" s="709"/>
      <c r="Q154" s="709"/>
    </row>
    <row r="155" spans="1:20" ht="15">
      <c r="B155" s="42" t="s">
        <v>141</v>
      </c>
      <c r="C155" s="43" t="s">
        <v>142</v>
      </c>
      <c r="N155" s="709"/>
      <c r="O155" s="709"/>
      <c r="P155" s="709"/>
      <c r="Q155" s="709"/>
    </row>
    <row r="156" spans="1:20" ht="15">
      <c r="B156" s="44" t="s">
        <v>143</v>
      </c>
      <c r="C156" s="45">
        <f>C157+C158*(C159-C157)</f>
        <v>0.16339999999999999</v>
      </c>
      <c r="H156" s="713"/>
      <c r="I156" s="715"/>
      <c r="N156" s="709"/>
      <c r="O156" s="709"/>
      <c r="P156" s="709"/>
      <c r="Q156" s="709"/>
    </row>
    <row r="157" spans="1:20" s="374" customFormat="1" ht="15">
      <c r="A157"/>
      <c r="B157" s="44" t="s">
        <v>144</v>
      </c>
      <c r="C157" s="46">
        <v>0.06</v>
      </c>
      <c r="D157" s="4"/>
      <c r="E157"/>
      <c r="F157"/>
      <c r="G157"/>
      <c r="H157"/>
      <c r="I157"/>
      <c r="J157"/>
      <c r="K157"/>
      <c r="L157"/>
      <c r="M157"/>
      <c r="N157" s="709"/>
      <c r="O157" s="709"/>
      <c r="P157" s="709"/>
      <c r="Q157" s="709"/>
      <c r="R157"/>
      <c r="S157"/>
      <c r="T157"/>
    </row>
    <row r="158" spans="1:20" s="374" customFormat="1" ht="18">
      <c r="A158"/>
      <c r="B158" s="47" t="s">
        <v>7</v>
      </c>
      <c r="C158" s="48">
        <v>1.1000000000000001</v>
      </c>
      <c r="D158"/>
      <c r="E158"/>
      <c r="F158"/>
      <c r="G158"/>
      <c r="H158"/>
      <c r="I158"/>
      <c r="J158" s="716"/>
      <c r="K158"/>
      <c r="L158"/>
      <c r="M158"/>
      <c r="N158"/>
      <c r="O158"/>
      <c r="P158"/>
      <c r="Q158"/>
      <c r="R158"/>
      <c r="S158"/>
      <c r="T158"/>
    </row>
    <row r="159" spans="1:20" s="374" customFormat="1" ht="18">
      <c r="A159"/>
      <c r="B159" s="47" t="s">
        <v>146</v>
      </c>
      <c r="C159" s="49">
        <v>0.154</v>
      </c>
      <c r="D159" s="4"/>
      <c r="E159"/>
      <c r="F159"/>
      <c r="G159"/>
      <c r="H159"/>
      <c r="I159"/>
      <c r="J159" s="716"/>
      <c r="K159"/>
      <c r="L159"/>
      <c r="M159"/>
      <c r="N159"/>
      <c r="O159"/>
      <c r="P159"/>
      <c r="Q159"/>
      <c r="R159"/>
      <c r="S159"/>
      <c r="T159"/>
    </row>
    <row r="160" spans="1:20" s="374" customFormat="1" ht="18">
      <c r="A160"/>
      <c r="B160" s="47" t="s">
        <v>148</v>
      </c>
      <c r="C160" s="49">
        <v>0.1</v>
      </c>
      <c r="D160" s="4"/>
      <c r="E160"/>
      <c r="F160"/>
      <c r="G160"/>
      <c r="H160"/>
      <c r="I160"/>
      <c r="J160" s="716"/>
      <c r="K160"/>
      <c r="L160"/>
      <c r="M160"/>
      <c r="N160"/>
      <c r="O160"/>
      <c r="P160"/>
      <c r="Q160"/>
      <c r="R160"/>
      <c r="S160"/>
      <c r="T160"/>
    </row>
    <row r="161" spans="1:20" s="374" customFormat="1" ht="18">
      <c r="A161"/>
      <c r="B161" s="47" t="s">
        <v>150</v>
      </c>
      <c r="C161" s="49">
        <v>0</v>
      </c>
      <c r="D161" s="4"/>
      <c r="E161"/>
      <c r="F161"/>
      <c r="G161"/>
      <c r="H161"/>
      <c r="I161"/>
      <c r="J161" s="716"/>
      <c r="K161"/>
      <c r="L161"/>
      <c r="M161"/>
      <c r="N161"/>
      <c r="O161"/>
      <c r="P161"/>
      <c r="Q161"/>
      <c r="R161"/>
      <c r="S161"/>
      <c r="T161"/>
    </row>
    <row r="162" spans="1:20" s="374" customFormat="1">
      <c r="A162"/>
      <c r="B162" s="47" t="s">
        <v>152</v>
      </c>
      <c r="C162" s="49">
        <v>1</v>
      </c>
      <c r="D162" s="4"/>
      <c r="E162" s="4"/>
      <c r="F162" s="4"/>
      <c r="G162"/>
      <c r="H162"/>
      <c r="I162"/>
      <c r="J162"/>
      <c r="K162"/>
      <c r="L162"/>
      <c r="M162"/>
      <c r="N162"/>
      <c r="O162"/>
      <c r="P162"/>
      <c r="Q162"/>
      <c r="R162"/>
      <c r="S162"/>
      <c r="T162"/>
    </row>
    <row r="163" spans="1:20" s="374" customFormat="1" ht="13.5" thickBot="1">
      <c r="A163"/>
      <c r="B163" s="50" t="s">
        <v>154</v>
      </c>
      <c r="C163" s="51">
        <v>0</v>
      </c>
      <c r="D163" s="4"/>
      <c r="E163" s="4"/>
      <c r="F163" s="4"/>
      <c r="G163"/>
      <c r="H163"/>
      <c r="I163"/>
      <c r="J163"/>
      <c r="K163"/>
      <c r="L163"/>
      <c r="M163"/>
      <c r="N163"/>
      <c r="O163"/>
      <c r="P163"/>
      <c r="Q163"/>
      <c r="R163"/>
      <c r="S163"/>
      <c r="T163"/>
    </row>
    <row r="171" spans="1:20" s="374" customFormat="1">
      <c r="A171"/>
      <c r="B171"/>
      <c r="C171"/>
      <c r="D171"/>
      <c r="E171"/>
      <c r="F171"/>
      <c r="G171"/>
      <c r="H171"/>
      <c r="I171"/>
      <c r="J171"/>
      <c r="K171"/>
      <c r="L171"/>
      <c r="M171"/>
      <c r="N171"/>
      <c r="O171"/>
      <c r="P171"/>
      <c r="Q171"/>
      <c r="R171"/>
      <c r="S171"/>
      <c r="T171"/>
    </row>
    <row r="172" spans="1:20" s="374" customFormat="1">
      <c r="A172"/>
      <c r="B172"/>
      <c r="C172"/>
      <c r="D172"/>
      <c r="E172"/>
      <c r="F172" s="306"/>
      <c r="G172"/>
      <c r="H172" s="306"/>
      <c r="I172" s="1709"/>
      <c r="J172" s="1714"/>
      <c r="K172" s="1714"/>
      <c r="L172" s="1714"/>
      <c r="M172" s="1714"/>
      <c r="N172" s="1714"/>
      <c r="O172" s="1714"/>
      <c r="P172" s="1714"/>
      <c r="Q172" s="1714"/>
      <c r="R172" s="1714"/>
      <c r="S172" s="1714"/>
      <c r="T172" s="1714"/>
    </row>
    <row r="173" spans="1:20" s="374" customFormat="1">
      <c r="A173"/>
      <c r="B173"/>
      <c r="C173"/>
      <c r="D173"/>
      <c r="E173"/>
      <c r="F173"/>
      <c r="G173"/>
      <c r="H173" s="306"/>
      <c r="I173" s="718"/>
      <c r="J173" s="718"/>
      <c r="K173" s="718"/>
      <c r="L173" s="718"/>
      <c r="M173" s="718"/>
      <c r="N173" s="718"/>
      <c r="O173" s="718"/>
      <c r="P173" s="718"/>
      <c r="Q173" s="718"/>
      <c r="R173" s="718"/>
      <c r="S173" s="718"/>
      <c r="T173" s="718"/>
    </row>
    <row r="174" spans="1:20" s="374" customFormat="1">
      <c r="A174"/>
      <c r="B174"/>
      <c r="C174"/>
      <c r="D174"/>
      <c r="E174"/>
      <c r="F174" s="1713"/>
      <c r="G174" s="306"/>
      <c r="H174" s="306"/>
      <c r="I174" s="15"/>
      <c r="J174" s="15"/>
      <c r="K174" s="15"/>
      <c r="L174" s="15"/>
      <c r="M174" s="15"/>
      <c r="N174" s="15"/>
      <c r="O174" s="15"/>
      <c r="P174" s="15"/>
      <c r="Q174" s="15"/>
      <c r="R174" s="15"/>
      <c r="S174" s="15"/>
      <c r="T174" s="15"/>
    </row>
    <row r="175" spans="1:20" s="374" customFormat="1">
      <c r="A175"/>
      <c r="B175"/>
      <c r="C175"/>
      <c r="D175"/>
      <c r="E175"/>
      <c r="F175" s="1711"/>
      <c r="G175" s="306"/>
      <c r="H175" s="306"/>
      <c r="I175" s="15"/>
      <c r="J175" s="15"/>
      <c r="K175" s="15"/>
      <c r="L175" s="15"/>
      <c r="M175" s="15"/>
      <c r="N175" s="15"/>
      <c r="O175" s="15"/>
      <c r="P175" s="15"/>
      <c r="Q175" s="15"/>
      <c r="R175" s="15"/>
      <c r="S175" s="15"/>
      <c r="T175" s="15"/>
    </row>
    <row r="176" spans="1:20" s="374" customFormat="1">
      <c r="A176"/>
      <c r="B176"/>
      <c r="C176"/>
      <c r="D176"/>
      <c r="E176"/>
      <c r="F176" s="1711"/>
      <c r="G176" s="306"/>
      <c r="H176" s="306"/>
      <c r="I176" s="15"/>
      <c r="J176" s="719"/>
      <c r="K176" s="719"/>
      <c r="L176" s="719"/>
      <c r="M176" s="719"/>
      <c r="N176" s="719"/>
      <c r="O176" s="719"/>
      <c r="P176" s="719"/>
      <c r="Q176" s="719"/>
      <c r="R176" s="719"/>
      <c r="S176" s="719"/>
      <c r="T176" s="719"/>
    </row>
    <row r="177" spans="1:20" s="374" customFormat="1">
      <c r="A177"/>
      <c r="B177"/>
      <c r="C177"/>
      <c r="D177"/>
      <c r="E177"/>
      <c r="F177" s="1711"/>
      <c r="G177" s="306"/>
      <c r="H177" s="306"/>
      <c r="I177" s="15"/>
      <c r="J177" s="719"/>
      <c r="K177" s="719"/>
      <c r="L177" s="719"/>
      <c r="M177" s="719"/>
      <c r="N177" s="719"/>
      <c r="O177" s="719"/>
      <c r="P177" s="719"/>
      <c r="Q177" s="719"/>
      <c r="R177" s="719"/>
      <c r="S177" s="719"/>
      <c r="T177" s="719"/>
    </row>
    <row r="178" spans="1:20" s="374" customFormat="1">
      <c r="A178"/>
      <c r="B178"/>
      <c r="C178"/>
      <c r="D178"/>
      <c r="E178"/>
      <c r="F178" s="1713"/>
      <c r="G178" s="306"/>
      <c r="H178" s="306"/>
      <c r="I178" s="15"/>
      <c r="J178" s="15"/>
      <c r="K178" s="15"/>
      <c r="L178" s="15"/>
      <c r="M178" s="15"/>
      <c r="N178" s="15"/>
      <c r="O178" s="15"/>
      <c r="P178" s="15"/>
      <c r="Q178" s="15"/>
      <c r="R178" s="15"/>
      <c r="S178" s="15"/>
      <c r="T178" s="15"/>
    </row>
    <row r="179" spans="1:20" s="374" customFormat="1">
      <c r="A179"/>
      <c r="B179"/>
      <c r="C179"/>
      <c r="D179"/>
      <c r="E179"/>
      <c r="F179" s="1711"/>
      <c r="G179" s="306"/>
      <c r="H179" s="306"/>
      <c r="I179" s="15"/>
      <c r="J179" s="15"/>
      <c r="K179" s="15"/>
      <c r="L179" s="15"/>
      <c r="M179" s="15"/>
      <c r="N179" s="15"/>
      <c r="O179" s="15"/>
      <c r="P179" s="15"/>
      <c r="Q179" s="15"/>
      <c r="R179" s="15"/>
      <c r="S179" s="15"/>
      <c r="T179" s="15"/>
    </row>
    <row r="180" spans="1:20" s="374" customFormat="1">
      <c r="A180"/>
      <c r="B180"/>
      <c r="C180"/>
      <c r="D180"/>
      <c r="E180"/>
      <c r="F180" s="1711"/>
      <c r="G180" s="306"/>
      <c r="H180" s="306"/>
      <c r="I180" s="15"/>
      <c r="J180" s="15"/>
      <c r="K180" s="15"/>
      <c r="L180" s="15"/>
      <c r="M180" s="15"/>
      <c r="N180" s="15"/>
      <c r="O180" s="15"/>
      <c r="P180" s="15"/>
      <c r="Q180" s="15"/>
      <c r="R180" s="15"/>
      <c r="S180" s="15"/>
      <c r="T180" s="15"/>
    </row>
    <row r="181" spans="1:20" s="374" customFormat="1">
      <c r="A181"/>
      <c r="B181"/>
      <c r="C181"/>
      <c r="D181"/>
      <c r="E181"/>
      <c r="F181" s="1711"/>
      <c r="G181" s="306"/>
      <c r="H181" s="306"/>
      <c r="I181" s="15"/>
      <c r="J181" s="15"/>
      <c r="K181" s="15"/>
      <c r="L181" s="15"/>
      <c r="M181" s="15"/>
      <c r="N181" s="15"/>
      <c r="O181" s="15"/>
      <c r="P181" s="15"/>
      <c r="Q181" s="15"/>
      <c r="R181" s="15"/>
      <c r="S181" s="15"/>
      <c r="T181" s="15"/>
    </row>
    <row r="182" spans="1:20" s="374" customFormat="1">
      <c r="A182"/>
      <c r="B182"/>
      <c r="C182"/>
      <c r="D182"/>
      <c r="E182"/>
      <c r="F182" s="1711"/>
      <c r="G182" s="306"/>
      <c r="H182" s="306"/>
      <c r="I182" s="15"/>
      <c r="J182" s="15"/>
      <c r="K182" s="15"/>
      <c r="L182" s="15"/>
      <c r="M182" s="15"/>
      <c r="N182" s="15"/>
      <c r="O182" s="15"/>
      <c r="P182" s="15"/>
      <c r="Q182" s="15"/>
      <c r="R182" s="15"/>
      <c r="S182" s="15"/>
      <c r="T182" s="15"/>
    </row>
    <row r="183" spans="1:20" s="374" customFormat="1">
      <c r="A183"/>
      <c r="B183"/>
      <c r="C183"/>
      <c r="D183"/>
      <c r="E183"/>
      <c r="F183" s="1711"/>
      <c r="G183" s="306"/>
      <c r="H183" s="306"/>
      <c r="I183" s="15"/>
      <c r="J183" s="15"/>
      <c r="K183" s="15"/>
      <c r="L183" s="15"/>
      <c r="M183" s="15"/>
      <c r="N183" s="15"/>
      <c r="O183" s="15"/>
      <c r="P183" s="15"/>
      <c r="Q183" s="15"/>
      <c r="R183" s="15"/>
      <c r="S183" s="15"/>
      <c r="T183" s="15"/>
    </row>
    <row r="184" spans="1:20" s="374" customFormat="1" ht="15">
      <c r="A184"/>
      <c r="B184"/>
      <c r="C184"/>
      <c r="D184"/>
      <c r="E184"/>
      <c r="F184" s="1709"/>
      <c r="G184" s="1710"/>
      <c r="H184" s="1711"/>
      <c r="I184" s="719"/>
      <c r="J184" s="719"/>
      <c r="K184" s="719"/>
      <c r="L184" s="719"/>
      <c r="M184" s="719"/>
      <c r="N184" s="719"/>
      <c r="O184" s="719"/>
      <c r="P184" s="719"/>
      <c r="Q184" s="719"/>
      <c r="R184" s="719"/>
      <c r="S184" s="719"/>
      <c r="T184" s="719"/>
    </row>
    <row r="185" spans="1:20" s="374" customFormat="1">
      <c r="A185"/>
      <c r="B185"/>
      <c r="C185"/>
      <c r="D185"/>
      <c r="E185"/>
      <c r="F185" s="1709"/>
      <c r="G185" s="1711"/>
      <c r="H185" s="1711"/>
      <c r="I185" s="719"/>
      <c r="J185" s="15"/>
      <c r="K185" s="15"/>
      <c r="L185" s="15"/>
      <c r="M185" s="15"/>
      <c r="N185" s="15"/>
      <c r="O185" s="15"/>
      <c r="P185" s="15"/>
      <c r="Q185" s="15"/>
      <c r="R185" s="15"/>
      <c r="S185" s="15"/>
      <c r="T185" s="15"/>
    </row>
    <row r="186" spans="1:20" s="374" customFormat="1">
      <c r="A186"/>
      <c r="B186"/>
      <c r="C186"/>
      <c r="D186"/>
      <c r="E186"/>
      <c r="F186" s="1709"/>
      <c r="G186" s="1711"/>
      <c r="H186" s="1711"/>
      <c r="I186" s="721"/>
      <c r="J186" s="335"/>
      <c r="K186" s="335"/>
      <c r="L186" s="335"/>
      <c r="M186" s="335"/>
      <c r="N186" s="335"/>
      <c r="O186" s="335"/>
      <c r="P186" s="335"/>
      <c r="Q186" s="335"/>
      <c r="R186" s="335"/>
      <c r="S186" s="335"/>
      <c r="T186" s="335"/>
    </row>
    <row r="187" spans="1:20" s="374" customFormat="1">
      <c r="A187"/>
      <c r="B187"/>
      <c r="C187"/>
      <c r="D187"/>
      <c r="E187"/>
      <c r="F187"/>
      <c r="G187"/>
      <c r="H187"/>
      <c r="I187"/>
      <c r="J187"/>
      <c r="K187"/>
      <c r="L187"/>
      <c r="M187"/>
      <c r="N187"/>
      <c r="O187"/>
      <c r="P187"/>
      <c r="Q187"/>
      <c r="R187"/>
      <c r="S187"/>
      <c r="T187"/>
    </row>
    <row r="188" spans="1:20" s="374" customFormat="1" ht="15" customHeight="1">
      <c r="A188"/>
      <c r="B188"/>
      <c r="C188"/>
      <c r="D188"/>
      <c r="E188"/>
      <c r="F188" s="720"/>
      <c r="G188" s="722"/>
      <c r="H188"/>
      <c r="I188"/>
      <c r="J188" s="1712"/>
      <c r="K188" s="1712"/>
      <c r="L188"/>
      <c r="M188"/>
      <c r="N188"/>
      <c r="O188"/>
      <c r="P188"/>
      <c r="Q188"/>
      <c r="R188"/>
      <c r="S188"/>
      <c r="T188"/>
    </row>
    <row r="189" spans="1:20" ht="15">
      <c r="F189" s="720"/>
      <c r="G189" s="722"/>
      <c r="J189" s="1712"/>
      <c r="K189" s="1712"/>
    </row>
    <row r="190" spans="1:20" ht="15">
      <c r="F190" s="720"/>
      <c r="G190" s="722"/>
      <c r="J190" s="1712"/>
      <c r="K190" s="1712"/>
    </row>
    <row r="191" spans="1:20" ht="15">
      <c r="F191" s="720"/>
      <c r="G191" s="722"/>
      <c r="J191" s="1712"/>
      <c r="K191" s="1712"/>
    </row>
    <row r="192" spans="1:20" ht="39" customHeight="1">
      <c r="H192" s="723"/>
      <c r="I192" s="706"/>
      <c r="J192" s="1655"/>
      <c r="K192" s="1655"/>
      <c r="L192" s="1655"/>
      <c r="M192" s="1655"/>
      <c r="N192" s="1655"/>
      <c r="O192" s="1655"/>
    </row>
    <row r="195" spans="1:14" s="374" customFormat="1">
      <c r="A195" s="1643" t="s">
        <v>559</v>
      </c>
    </row>
    <row r="196" spans="1:14" s="374" customFormat="1">
      <c r="A196" s="1643"/>
    </row>
    <row r="197" spans="1:14" s="374" customFormat="1">
      <c r="A197" s="1643"/>
    </row>
    <row r="201" spans="1:14">
      <c r="C201" s="351" t="s">
        <v>604</v>
      </c>
    </row>
    <row r="202" spans="1:14" ht="15" thickBot="1">
      <c r="C202" s="1698" t="s">
        <v>605</v>
      </c>
      <c r="D202" s="1698"/>
      <c r="E202" s="1698"/>
      <c r="F202" s="1698"/>
      <c r="G202" s="1698"/>
      <c r="H202" s="1698"/>
      <c r="I202" s="384"/>
      <c r="J202" s="384"/>
      <c r="K202" s="384"/>
      <c r="L202" s="384"/>
      <c r="M202" s="384"/>
      <c r="N202" s="384"/>
    </row>
    <row r="203" spans="1:14" ht="15.75" thickBot="1">
      <c r="C203" s="422" t="s">
        <v>103</v>
      </c>
      <c r="D203" s="423" t="s">
        <v>606</v>
      </c>
      <c r="E203" s="423"/>
      <c r="F203" s="1696" t="s">
        <v>607</v>
      </c>
      <c r="G203" s="1699"/>
      <c r="H203" s="424">
        <v>0.12</v>
      </c>
      <c r="I203" s="384"/>
      <c r="J203" s="384"/>
      <c r="K203" s="384"/>
      <c r="L203" s="384"/>
      <c r="M203" s="384"/>
      <c r="N203" s="384"/>
    </row>
    <row r="204" spans="1:14" ht="15.75" thickBot="1">
      <c r="C204" s="423"/>
      <c r="D204" s="423"/>
      <c r="E204" s="423"/>
      <c r="F204" s="1688" t="s">
        <v>608</v>
      </c>
      <c r="G204" s="1689"/>
      <c r="H204" s="425">
        <v>60</v>
      </c>
      <c r="I204" s="384"/>
      <c r="J204" s="384"/>
      <c r="K204" s="384"/>
      <c r="L204" s="384"/>
      <c r="M204" s="384"/>
      <c r="N204" s="384"/>
    </row>
    <row r="205" spans="1:14" ht="15.75" thickBot="1">
      <c r="C205" s="426" t="s">
        <v>609</v>
      </c>
      <c r="D205" s="427">
        <v>90000</v>
      </c>
      <c r="E205" s="423"/>
      <c r="F205" s="1688" t="s">
        <v>610</v>
      </c>
      <c r="G205" s="1689"/>
      <c r="H205" s="425">
        <v>360</v>
      </c>
      <c r="I205" s="384" t="s">
        <v>611</v>
      </c>
      <c r="J205" s="384"/>
      <c r="K205" s="384"/>
      <c r="L205" s="384"/>
      <c r="M205" s="384"/>
      <c r="N205" s="384"/>
    </row>
    <row r="206" spans="1:14" ht="15.75" thickBot="1">
      <c r="C206" s="428" t="s">
        <v>102</v>
      </c>
      <c r="D206" s="429">
        <f>H207</f>
        <v>0.12616241926400007</v>
      </c>
      <c r="E206" s="423"/>
      <c r="F206" s="1688" t="s">
        <v>612</v>
      </c>
      <c r="G206" s="1689"/>
      <c r="H206" s="425">
        <v>360</v>
      </c>
      <c r="I206" s="384"/>
      <c r="J206" s="384"/>
      <c r="K206" s="384"/>
      <c r="L206" s="1700" t="s">
        <v>613</v>
      </c>
      <c r="M206" s="1701"/>
      <c r="N206" s="1702"/>
    </row>
    <row r="207" spans="1:14" ht="15.75" thickBot="1">
      <c r="C207" s="430" t="s">
        <v>614</v>
      </c>
      <c r="D207" s="431">
        <v>5</v>
      </c>
      <c r="E207" s="423" t="s">
        <v>615</v>
      </c>
      <c r="F207" s="1690" t="s">
        <v>616</v>
      </c>
      <c r="G207" s="1691"/>
      <c r="H207" s="432">
        <f>((1+H203*H204/H206)^(H205/H204))-1</f>
        <v>0.12616241926400007</v>
      </c>
      <c r="I207" s="384"/>
      <c r="J207" s="384"/>
      <c r="K207" s="384"/>
      <c r="L207" s="1692" t="s">
        <v>484</v>
      </c>
      <c r="M207" s="1693"/>
      <c r="N207" s="433">
        <v>7.0000000000000007E-2</v>
      </c>
    </row>
    <row r="208" spans="1:14" ht="15" thickBot="1">
      <c r="C208" s="423"/>
      <c r="D208" s="423"/>
      <c r="E208" s="423"/>
      <c r="F208" s="423"/>
      <c r="G208" s="423"/>
      <c r="H208" s="423"/>
      <c r="I208" s="384"/>
      <c r="J208" s="384"/>
      <c r="K208" s="384"/>
      <c r="L208" s="1692" t="s">
        <v>617</v>
      </c>
      <c r="M208" s="1693"/>
      <c r="N208" s="434">
        <v>60</v>
      </c>
    </row>
    <row r="209" spans="3:14" ht="14.25">
      <c r="C209" s="435" t="s">
        <v>427</v>
      </c>
      <c r="D209" s="436" t="s">
        <v>428</v>
      </c>
      <c r="E209" s="436" t="s">
        <v>102</v>
      </c>
      <c r="F209" s="436" t="s">
        <v>107</v>
      </c>
      <c r="G209" s="436" t="s">
        <v>109</v>
      </c>
      <c r="H209" s="437" t="s">
        <v>429</v>
      </c>
      <c r="I209" s="384"/>
      <c r="J209" s="384"/>
      <c r="K209" s="384"/>
      <c r="L209" s="1692" t="s">
        <v>618</v>
      </c>
      <c r="M209" s="1693"/>
      <c r="N209" s="434">
        <v>360</v>
      </c>
    </row>
    <row r="210" spans="3:14" ht="15.75" thickBot="1">
      <c r="C210" s="438">
        <v>1</v>
      </c>
      <c r="D210" s="439">
        <f>D205</f>
        <v>90000</v>
      </c>
      <c r="E210" s="439">
        <f>D210*$D$206</f>
        <v>11354.617733760006</v>
      </c>
      <c r="F210" s="439">
        <f t="shared" ref="F210:F219" si="0">G210-E210</f>
        <v>13994.522240423958</v>
      </c>
      <c r="G210" s="439">
        <f>D205*D206/(1-(1+D206)^-D207)</f>
        <v>25349.139974183963</v>
      </c>
      <c r="H210" s="440">
        <f t="shared" ref="H210:H219" si="1">D210-F210</f>
        <v>76005.477759576039</v>
      </c>
      <c r="I210" s="384"/>
      <c r="J210" s="384"/>
      <c r="K210" s="384"/>
      <c r="L210" s="1694" t="s">
        <v>619</v>
      </c>
      <c r="M210" s="1695"/>
      <c r="N210" s="441">
        <f>(1+N207)^(N209/N208)-1</f>
        <v>0.50073035184900005</v>
      </c>
    </row>
    <row r="211" spans="3:14" ht="14.25">
      <c r="C211" s="438">
        <v>2</v>
      </c>
      <c r="D211" s="439">
        <f t="shared" ref="D211:D219" si="2">H210</f>
        <v>76005.477759576039</v>
      </c>
      <c r="E211" s="439">
        <f t="shared" ref="E211:E219" si="3">D211*$D$206</f>
        <v>9589.0349514642658</v>
      </c>
      <c r="F211" s="439">
        <f t="shared" si="0"/>
        <v>15760.105022719697</v>
      </c>
      <c r="G211" s="439">
        <f t="shared" ref="G211:G219" si="4">+G210</f>
        <v>25349.139974183963</v>
      </c>
      <c r="H211" s="440">
        <f t="shared" si="1"/>
        <v>60245.372736856341</v>
      </c>
      <c r="I211" s="384"/>
      <c r="J211" s="384"/>
      <c r="K211" s="384"/>
      <c r="L211" s="384"/>
      <c r="M211" s="384"/>
      <c r="N211" s="384"/>
    </row>
    <row r="212" spans="3:14" ht="14.25">
      <c r="C212" s="438">
        <v>3</v>
      </c>
      <c r="D212" s="439">
        <f t="shared" si="2"/>
        <v>60245.372736856341</v>
      </c>
      <c r="E212" s="439">
        <f t="shared" si="3"/>
        <v>7600.7019739432289</v>
      </c>
      <c r="F212" s="439">
        <f t="shared" si="0"/>
        <v>17748.438000240734</v>
      </c>
      <c r="G212" s="439">
        <f t="shared" si="4"/>
        <v>25349.139974183963</v>
      </c>
      <c r="H212" s="440">
        <f t="shared" si="1"/>
        <v>42496.934736615607</v>
      </c>
      <c r="I212" s="384"/>
      <c r="J212" s="384"/>
      <c r="K212" s="384"/>
      <c r="L212" s="384"/>
      <c r="M212" s="384"/>
      <c r="N212" s="384"/>
    </row>
    <row r="213" spans="3:14" ht="14.25">
      <c r="C213" s="438">
        <v>4</v>
      </c>
      <c r="D213" s="439">
        <f t="shared" si="2"/>
        <v>42496.934736615607</v>
      </c>
      <c r="E213" s="439">
        <f t="shared" si="3"/>
        <v>5361.516097675747</v>
      </c>
      <c r="F213" s="439">
        <f t="shared" si="0"/>
        <v>19987.623876508216</v>
      </c>
      <c r="G213" s="439">
        <f t="shared" si="4"/>
        <v>25349.139974183963</v>
      </c>
      <c r="H213" s="440">
        <f t="shared" si="1"/>
        <v>22509.310860107391</v>
      </c>
      <c r="I213" s="384"/>
      <c r="J213" s="384" t="s">
        <v>620</v>
      </c>
      <c r="K213" s="384"/>
      <c r="L213" s="384"/>
      <c r="M213" s="384"/>
      <c r="N213" s="384"/>
    </row>
    <row r="214" spans="3:14" ht="14.25">
      <c r="C214" s="438">
        <v>5</v>
      </c>
      <c r="D214" s="439">
        <f t="shared" si="2"/>
        <v>22509.310860107391</v>
      </c>
      <c r="E214" s="439">
        <f t="shared" si="3"/>
        <v>2839.8291140765787</v>
      </c>
      <c r="F214" s="439">
        <f t="shared" si="0"/>
        <v>22509.310860107384</v>
      </c>
      <c r="G214" s="439">
        <f t="shared" si="4"/>
        <v>25349.139974183963</v>
      </c>
      <c r="H214" s="440">
        <f t="shared" si="1"/>
        <v>0</v>
      </c>
      <c r="I214" s="384"/>
      <c r="J214" s="384">
        <v>90000</v>
      </c>
      <c r="K214" s="384"/>
      <c r="L214" s="442">
        <v>1</v>
      </c>
      <c r="M214" s="384"/>
      <c r="N214" s="384"/>
    </row>
    <row r="215" spans="3:14" ht="14.25">
      <c r="C215" s="438">
        <v>6</v>
      </c>
      <c r="D215" s="439">
        <f t="shared" si="2"/>
        <v>0</v>
      </c>
      <c r="E215" s="439">
        <f t="shared" si="3"/>
        <v>0</v>
      </c>
      <c r="F215" s="439">
        <f t="shared" si="0"/>
        <v>25349.139974183963</v>
      </c>
      <c r="G215" s="439">
        <f t="shared" si="4"/>
        <v>25349.139974183963</v>
      </c>
      <c r="H215" s="440">
        <f t="shared" si="1"/>
        <v>-25349.139974183963</v>
      </c>
      <c r="I215" s="384"/>
      <c r="J215" s="384">
        <f>5*10818</f>
        <v>54090</v>
      </c>
      <c r="K215" s="384"/>
      <c r="L215" s="384">
        <f>(J215*100)/J214</f>
        <v>60.1</v>
      </c>
      <c r="M215" s="384"/>
      <c r="N215" s="384"/>
    </row>
    <row r="216" spans="3:14" ht="14.25">
      <c r="C216" s="438">
        <v>7</v>
      </c>
      <c r="D216" s="439">
        <f t="shared" si="2"/>
        <v>-25349.139974183963</v>
      </c>
      <c r="E216" s="439">
        <f t="shared" si="3"/>
        <v>-3198.1088254048209</v>
      </c>
      <c r="F216" s="439">
        <f t="shared" si="0"/>
        <v>28547.248799588786</v>
      </c>
      <c r="G216" s="439">
        <f t="shared" si="4"/>
        <v>25349.139974183963</v>
      </c>
      <c r="H216" s="440">
        <f t="shared" si="1"/>
        <v>-53896.388773772749</v>
      </c>
      <c r="I216" s="384"/>
      <c r="J216" s="384"/>
      <c r="K216" s="384"/>
      <c r="L216" s="384"/>
      <c r="M216" s="384"/>
      <c r="N216" s="384"/>
    </row>
    <row r="217" spans="3:14" ht="14.25">
      <c r="C217" s="438">
        <v>8</v>
      </c>
      <c r="D217" s="439">
        <f t="shared" si="2"/>
        <v>-53896.388773772749</v>
      </c>
      <c r="E217" s="439">
        <f t="shared" si="3"/>
        <v>-6799.6987972922643</v>
      </c>
      <c r="F217" s="439">
        <f t="shared" si="0"/>
        <v>32148.838771476228</v>
      </c>
      <c r="G217" s="439">
        <f t="shared" si="4"/>
        <v>25349.139974183963</v>
      </c>
      <c r="H217" s="440">
        <f t="shared" si="1"/>
        <v>-86045.227545248985</v>
      </c>
      <c r="I217" s="384"/>
      <c r="J217" s="384"/>
      <c r="K217" s="384"/>
      <c r="L217" s="384"/>
      <c r="M217" s="384"/>
      <c r="N217" s="384"/>
    </row>
    <row r="218" spans="3:14" ht="14.25">
      <c r="C218" s="438">
        <v>9</v>
      </c>
      <c r="D218" s="439">
        <f t="shared" si="2"/>
        <v>-86045.227545248985</v>
      </c>
      <c r="E218" s="439">
        <f t="shared" si="3"/>
        <v>-10855.67407322999</v>
      </c>
      <c r="F218" s="439">
        <f t="shared" si="0"/>
        <v>36204.814047413951</v>
      </c>
      <c r="G218" s="439">
        <f t="shared" si="4"/>
        <v>25349.139974183963</v>
      </c>
      <c r="H218" s="440">
        <f t="shared" si="1"/>
        <v>-122250.04159266294</v>
      </c>
      <c r="I218" s="384"/>
      <c r="J218" s="384"/>
      <c r="K218" s="384"/>
      <c r="L218" s="384"/>
      <c r="M218" s="384"/>
      <c r="N218" s="384"/>
    </row>
    <row r="219" spans="3:14" ht="14.25">
      <c r="C219" s="438">
        <v>10</v>
      </c>
      <c r="D219" s="439">
        <f t="shared" si="2"/>
        <v>-122250.04159266294</v>
      </c>
      <c r="E219" s="439">
        <f t="shared" si="3"/>
        <v>-15423.361002454989</v>
      </c>
      <c r="F219" s="439">
        <f t="shared" si="0"/>
        <v>40772.500976638956</v>
      </c>
      <c r="G219" s="439">
        <f t="shared" si="4"/>
        <v>25349.139974183963</v>
      </c>
      <c r="H219" s="440">
        <f t="shared" si="1"/>
        <v>-163022.54256930191</v>
      </c>
      <c r="I219" s="384"/>
      <c r="J219" s="384"/>
      <c r="K219" s="384"/>
      <c r="L219" s="384"/>
      <c r="M219" s="384"/>
      <c r="N219" s="384"/>
    </row>
    <row r="220" spans="3:14" ht="15" thickBot="1">
      <c r="C220" s="443" t="s">
        <v>621</v>
      </c>
      <c r="D220" s="444"/>
      <c r="E220" s="444">
        <f>SUM(E210:E212)</f>
        <v>28544.3546591675</v>
      </c>
      <c r="F220" s="444">
        <f>SUM(F210:F212)</f>
        <v>47503.065263384386</v>
      </c>
      <c r="G220" s="444">
        <f>SUM(G210:G213)</f>
        <v>101396.55989673585</v>
      </c>
      <c r="H220" s="445"/>
      <c r="I220" s="384"/>
      <c r="J220" s="384"/>
      <c r="K220" s="384"/>
      <c r="L220" s="384"/>
      <c r="M220" s="384"/>
      <c r="N220" s="384"/>
    </row>
    <row r="221" spans="3:14" ht="14.25">
      <c r="C221" s="384"/>
      <c r="D221" s="384"/>
      <c r="E221" s="384"/>
      <c r="F221" s="384"/>
      <c r="G221" s="384"/>
      <c r="H221" s="384"/>
      <c r="I221" s="384"/>
      <c r="J221" s="384"/>
      <c r="K221" s="384"/>
      <c r="L221" s="384"/>
      <c r="M221" s="384"/>
      <c r="N221" s="384"/>
    </row>
    <row r="222" spans="3:14" ht="15" thickBot="1">
      <c r="C222" s="1698" t="s">
        <v>622</v>
      </c>
      <c r="D222" s="1698"/>
      <c r="E222" s="1698"/>
      <c r="F222" s="1698"/>
      <c r="G222" s="1698"/>
      <c r="H222" s="1698"/>
      <c r="I222" s="384"/>
      <c r="J222" s="384"/>
      <c r="K222" s="384"/>
      <c r="L222" s="384"/>
      <c r="M222" s="384"/>
      <c r="N222" s="384"/>
    </row>
    <row r="223" spans="3:14" ht="15.75" thickBot="1">
      <c r="C223" s="422" t="s">
        <v>103</v>
      </c>
      <c r="D223" s="423" t="s">
        <v>606</v>
      </c>
      <c r="E223" s="423"/>
      <c r="F223" s="1696" t="s">
        <v>607</v>
      </c>
      <c r="G223" s="1697"/>
      <c r="H223" s="424">
        <v>0.12</v>
      </c>
      <c r="I223" s="384"/>
      <c r="J223" s="384"/>
      <c r="K223" s="384"/>
      <c r="L223" s="384"/>
      <c r="M223" s="384"/>
      <c r="N223" s="384"/>
    </row>
    <row r="224" spans="3:14" ht="15.75" thickBot="1">
      <c r="C224" s="423"/>
      <c r="D224" s="423"/>
      <c r="E224" s="423"/>
      <c r="F224" s="1688" t="s">
        <v>608</v>
      </c>
      <c r="G224" s="1689"/>
      <c r="H224" s="425">
        <v>60</v>
      </c>
      <c r="I224" s="384"/>
      <c r="J224" s="384"/>
      <c r="K224" s="384"/>
      <c r="L224" s="384"/>
      <c r="M224" s="384"/>
      <c r="N224" s="384"/>
    </row>
    <row r="225" spans="3:14" ht="15">
      <c r="C225" s="426" t="s">
        <v>609</v>
      </c>
      <c r="D225" s="427">
        <v>38409</v>
      </c>
      <c r="E225" s="423"/>
      <c r="F225" s="1688" t="s">
        <v>610</v>
      </c>
      <c r="G225" s="1689"/>
      <c r="H225" s="425">
        <v>360</v>
      </c>
      <c r="I225" s="384"/>
      <c r="J225" s="384" t="s">
        <v>623</v>
      </c>
      <c r="K225" s="384"/>
      <c r="L225" s="384"/>
      <c r="M225" s="384"/>
      <c r="N225" s="384"/>
    </row>
    <row r="226" spans="3:14" ht="15">
      <c r="C226" s="428" t="s">
        <v>102</v>
      </c>
      <c r="D226" s="429">
        <f>H227</f>
        <v>0.12616241926400007</v>
      </c>
      <c r="E226" s="423"/>
      <c r="F226" s="1688" t="s">
        <v>612</v>
      </c>
      <c r="G226" s="1689"/>
      <c r="H226" s="425">
        <v>360</v>
      </c>
      <c r="I226" s="384"/>
      <c r="J226" s="384"/>
      <c r="K226" s="384"/>
      <c r="L226" s="384"/>
      <c r="M226" s="384"/>
      <c r="N226" s="384"/>
    </row>
    <row r="227" spans="3:14" ht="15.75" thickBot="1">
      <c r="C227" s="430" t="s">
        <v>614</v>
      </c>
      <c r="D227" s="431">
        <v>5</v>
      </c>
      <c r="E227" s="423" t="s">
        <v>615</v>
      </c>
      <c r="F227" s="1690" t="s">
        <v>616</v>
      </c>
      <c r="G227" s="1691"/>
      <c r="H227" s="432">
        <f>((1+H223*H224/H226)^(H225/H224))-1</f>
        <v>0.12616241926400007</v>
      </c>
      <c r="I227" s="384"/>
      <c r="J227" s="384"/>
      <c r="K227" s="384"/>
      <c r="L227" s="384"/>
      <c r="M227" s="384"/>
      <c r="N227" s="384"/>
    </row>
    <row r="228" spans="3:14" ht="15" thickBot="1">
      <c r="C228" s="423"/>
      <c r="D228" s="423"/>
      <c r="E228" s="423"/>
      <c r="F228" s="423"/>
      <c r="G228" s="423"/>
      <c r="H228" s="423"/>
      <c r="I228" s="384"/>
      <c r="J228" s="384">
        <v>90000</v>
      </c>
      <c r="K228" s="384"/>
      <c r="L228" s="442">
        <v>1</v>
      </c>
      <c r="M228" s="384"/>
      <c r="N228" s="384"/>
    </row>
    <row r="229" spans="3:14" ht="14.25">
      <c r="C229" s="435" t="s">
        <v>427</v>
      </c>
      <c r="D229" s="436" t="s">
        <v>428</v>
      </c>
      <c r="E229" s="436" t="s">
        <v>102</v>
      </c>
      <c r="F229" s="436" t="s">
        <v>107</v>
      </c>
      <c r="G229" s="436" t="s">
        <v>109</v>
      </c>
      <c r="H229" s="437" t="s">
        <v>429</v>
      </c>
      <c r="I229" s="384"/>
      <c r="J229" s="384">
        <v>38409</v>
      </c>
      <c r="K229" s="384"/>
      <c r="L229" s="384">
        <f>(J229*100)/J228</f>
        <v>42.676666666666669</v>
      </c>
      <c r="M229" s="384"/>
      <c r="N229" s="384"/>
    </row>
    <row r="230" spans="3:14" ht="14.25">
      <c r="C230" s="438">
        <v>1</v>
      </c>
      <c r="D230" s="439">
        <f>D225</f>
        <v>38409</v>
      </c>
      <c r="E230" s="439">
        <f>D230*$D$226</f>
        <v>4845.772361510979</v>
      </c>
      <c r="F230" s="439">
        <f t="shared" ref="F230:F239" si="5">G230-E230</f>
        <v>5972.3956081382657</v>
      </c>
      <c r="G230" s="439">
        <f>D225*D226/(1-(1+D226)^-D227)</f>
        <v>10818.167969649245</v>
      </c>
      <c r="H230" s="440">
        <f t="shared" ref="H230:H239" si="6">D230-F230</f>
        <v>32436.604391861736</v>
      </c>
      <c r="I230" s="384"/>
      <c r="J230" s="384"/>
      <c r="K230" s="384"/>
      <c r="L230" s="384"/>
      <c r="M230" s="384"/>
      <c r="N230" s="384"/>
    </row>
    <row r="231" spans="3:14" ht="14.25">
      <c r="C231" s="438">
        <v>2</v>
      </c>
      <c r="D231" s="439">
        <f t="shared" ref="D231:D239" si="7">H230</f>
        <v>32436.604391861736</v>
      </c>
      <c r="E231" s="439">
        <f t="shared" ref="E231:E239" si="8">D231*$D$226</f>
        <v>4092.2804827865662</v>
      </c>
      <c r="F231" s="439">
        <f t="shared" si="5"/>
        <v>6725.887486862679</v>
      </c>
      <c r="G231" s="439">
        <f t="shared" ref="G231:G239" si="9">+G230</f>
        <v>10818.167969649245</v>
      </c>
      <c r="H231" s="440">
        <f t="shared" si="6"/>
        <v>25710.716904999055</v>
      </c>
      <c r="I231" s="384"/>
      <c r="J231" s="384"/>
      <c r="K231" s="384"/>
      <c r="L231" s="384"/>
      <c r="M231" s="384"/>
      <c r="N231" s="384"/>
    </row>
    <row r="232" spans="3:14" ht="14.25">
      <c r="C232" s="438">
        <v>3</v>
      </c>
      <c r="D232" s="439">
        <f t="shared" si="7"/>
        <v>25710.716904999055</v>
      </c>
      <c r="E232" s="439">
        <f t="shared" si="8"/>
        <v>3243.7262457465049</v>
      </c>
      <c r="F232" s="439">
        <f t="shared" si="5"/>
        <v>7574.4417239027398</v>
      </c>
      <c r="G232" s="439">
        <f t="shared" si="9"/>
        <v>10818.167969649245</v>
      </c>
      <c r="H232" s="440">
        <f t="shared" si="6"/>
        <v>18136.275181096316</v>
      </c>
      <c r="I232" s="384"/>
      <c r="J232" s="384"/>
      <c r="K232" s="384"/>
      <c r="L232" s="384"/>
      <c r="M232" s="384"/>
      <c r="N232" s="384"/>
    </row>
    <row r="233" spans="3:14" ht="14.25">
      <c r="C233" s="438">
        <v>4</v>
      </c>
      <c r="D233" s="439">
        <f t="shared" si="7"/>
        <v>18136.275181096316</v>
      </c>
      <c r="E233" s="439">
        <f t="shared" si="8"/>
        <v>2288.1163532847522</v>
      </c>
      <c r="F233" s="439">
        <f t="shared" si="5"/>
        <v>8530.0516163644934</v>
      </c>
      <c r="G233" s="439">
        <f t="shared" si="9"/>
        <v>10818.167969649245</v>
      </c>
      <c r="H233" s="440">
        <f t="shared" si="6"/>
        <v>9606.223564731823</v>
      </c>
      <c r="I233" s="384"/>
      <c r="J233" s="384"/>
      <c r="K233" s="384"/>
      <c r="L233" s="384"/>
      <c r="M233" s="384"/>
      <c r="N233" s="384"/>
    </row>
    <row r="234" spans="3:14" ht="14.25">
      <c r="C234" s="438">
        <v>5</v>
      </c>
      <c r="D234" s="439">
        <f t="shared" si="7"/>
        <v>9606.223564731823</v>
      </c>
      <c r="E234" s="439">
        <f t="shared" si="8"/>
        <v>1211.9444049174135</v>
      </c>
      <c r="F234" s="439">
        <f t="shared" si="5"/>
        <v>9606.2235647318303</v>
      </c>
      <c r="G234" s="439">
        <f t="shared" si="9"/>
        <v>10818.167969649245</v>
      </c>
      <c r="H234" s="440">
        <f t="shared" si="6"/>
        <v>0</v>
      </c>
      <c r="I234" s="384"/>
      <c r="J234" s="384"/>
      <c r="K234" s="384"/>
      <c r="L234" s="384"/>
      <c r="M234" s="384"/>
      <c r="N234" s="384"/>
    </row>
    <row r="235" spans="3:14" ht="14.25">
      <c r="C235" s="438">
        <v>6</v>
      </c>
      <c r="D235" s="439">
        <f t="shared" si="7"/>
        <v>0</v>
      </c>
      <c r="E235" s="439">
        <f t="shared" si="8"/>
        <v>0</v>
      </c>
      <c r="F235" s="439">
        <f t="shared" si="5"/>
        <v>10818.167969649245</v>
      </c>
      <c r="G235" s="439">
        <f t="shared" si="9"/>
        <v>10818.167969649245</v>
      </c>
      <c r="H235" s="440">
        <f t="shared" si="6"/>
        <v>-10818.167969649245</v>
      </c>
      <c r="I235" s="384"/>
      <c r="J235" s="384"/>
      <c r="K235" s="384"/>
      <c r="L235" s="384"/>
      <c r="M235" s="384"/>
      <c r="N235" s="384"/>
    </row>
    <row r="236" spans="3:14" ht="14.25">
      <c r="C236" s="438">
        <v>7</v>
      </c>
      <c r="D236" s="439">
        <f t="shared" si="7"/>
        <v>-10818.167969649245</v>
      </c>
      <c r="E236" s="439">
        <f t="shared" si="8"/>
        <v>-1364.8462430552645</v>
      </c>
      <c r="F236" s="439">
        <f t="shared" si="5"/>
        <v>12183.014212704509</v>
      </c>
      <c r="G236" s="439">
        <f t="shared" si="9"/>
        <v>10818.167969649245</v>
      </c>
      <c r="H236" s="440">
        <f t="shared" si="6"/>
        <v>-23001.182182353754</v>
      </c>
      <c r="I236" s="384"/>
      <c r="J236" s="384"/>
      <c r="K236" s="384"/>
      <c r="L236" s="384"/>
      <c r="M236" s="384"/>
      <c r="N236" s="384"/>
    </row>
    <row r="237" spans="3:14" ht="14.25">
      <c r="C237" s="438">
        <v>8</v>
      </c>
      <c r="D237" s="439">
        <f t="shared" si="7"/>
        <v>-23001.182182353754</v>
      </c>
      <c r="E237" s="439">
        <f t="shared" si="8"/>
        <v>-2901.8847900577625</v>
      </c>
      <c r="F237" s="439">
        <f t="shared" si="5"/>
        <v>13720.052759707007</v>
      </c>
      <c r="G237" s="439">
        <f t="shared" si="9"/>
        <v>10818.167969649245</v>
      </c>
      <c r="H237" s="440">
        <f t="shared" si="6"/>
        <v>-36721.234942060764</v>
      </c>
      <c r="I237" s="384"/>
      <c r="J237" s="384"/>
      <c r="K237" s="384"/>
      <c r="L237" s="384"/>
      <c r="M237" s="384"/>
      <c r="N237" s="384"/>
    </row>
    <row r="238" spans="3:14" ht="14.25">
      <c r="C238" s="438">
        <v>9</v>
      </c>
      <c r="D238" s="439">
        <f t="shared" si="7"/>
        <v>-36721.234942060764</v>
      </c>
      <c r="E238" s="439">
        <f t="shared" si="8"/>
        <v>-4632.8398386521194</v>
      </c>
      <c r="F238" s="439">
        <f t="shared" si="5"/>
        <v>15451.007808301365</v>
      </c>
      <c r="G238" s="439">
        <f t="shared" si="9"/>
        <v>10818.167969649245</v>
      </c>
      <c r="H238" s="440">
        <f t="shared" si="6"/>
        <v>-52172.242750362129</v>
      </c>
      <c r="I238" s="384"/>
      <c r="J238" s="384"/>
      <c r="K238" s="384"/>
      <c r="L238" s="384"/>
      <c r="M238" s="384"/>
      <c r="N238" s="384"/>
    </row>
    <row r="239" spans="3:14" ht="14.25">
      <c r="C239" s="438">
        <v>10</v>
      </c>
      <c r="D239" s="439">
        <f t="shared" si="7"/>
        <v>-52172.242750362129</v>
      </c>
      <c r="E239" s="439">
        <f t="shared" si="8"/>
        <v>-6582.1763638143748</v>
      </c>
      <c r="F239" s="439">
        <f t="shared" si="5"/>
        <v>17400.344333463618</v>
      </c>
      <c r="G239" s="439">
        <f t="shared" si="9"/>
        <v>10818.167969649245</v>
      </c>
      <c r="H239" s="440">
        <f t="shared" si="6"/>
        <v>-69572.587083825754</v>
      </c>
      <c r="I239" s="384"/>
      <c r="J239" s="384"/>
      <c r="K239" s="384"/>
      <c r="L239" s="384"/>
      <c r="M239" s="384"/>
      <c r="N239" s="384"/>
    </row>
    <row r="240" spans="3:14" ht="15" thickBot="1">
      <c r="C240" s="443" t="s">
        <v>621</v>
      </c>
      <c r="D240" s="444"/>
      <c r="E240" s="444">
        <f>SUM(E230:E232)</f>
        <v>12181.779090044049</v>
      </c>
      <c r="F240" s="444">
        <f>SUM(F230:F232)</f>
        <v>20272.724818903684</v>
      </c>
      <c r="G240" s="444">
        <f>SUM(G230:G233)</f>
        <v>43272.671878596979</v>
      </c>
      <c r="H240" s="445"/>
      <c r="I240" s="384"/>
      <c r="J240" s="384"/>
      <c r="K240" s="384"/>
      <c r="L240" s="384"/>
      <c r="M240" s="384"/>
      <c r="N240" s="384"/>
    </row>
  </sheetData>
  <mergeCells count="44">
    <mergeCell ref="U1:U2"/>
    <mergeCell ref="C108:C109"/>
    <mergeCell ref="D108:D109"/>
    <mergeCell ref="E108:E109"/>
    <mergeCell ref="F108:F109"/>
    <mergeCell ref="G108:G109"/>
    <mergeCell ref="R69:R72"/>
    <mergeCell ref="S69:S73"/>
    <mergeCell ref="K74:L74"/>
    <mergeCell ref="I59:K59"/>
    <mergeCell ref="M59:N59"/>
    <mergeCell ref="I57:R58"/>
    <mergeCell ref="L206:N206"/>
    <mergeCell ref="J192:O192"/>
    <mergeCell ref="A195:A197"/>
    <mergeCell ref="H67:Q67"/>
    <mergeCell ref="Q69:Q73"/>
    <mergeCell ref="F184:H184"/>
    <mergeCell ref="F185:H185"/>
    <mergeCell ref="F186:H186"/>
    <mergeCell ref="J188:K191"/>
    <mergeCell ref="F174:F177"/>
    <mergeCell ref="F178:F183"/>
    <mergeCell ref="H108:H109"/>
    <mergeCell ref="I108:I109"/>
    <mergeCell ref="J108:O108"/>
    <mergeCell ref="J109:O109"/>
    <mergeCell ref="I172:T172"/>
    <mergeCell ref="C202:H202"/>
    <mergeCell ref="F203:G203"/>
    <mergeCell ref="F204:G204"/>
    <mergeCell ref="F205:G205"/>
    <mergeCell ref="F206:G206"/>
    <mergeCell ref="F224:G224"/>
    <mergeCell ref="F225:G225"/>
    <mergeCell ref="F226:G226"/>
    <mergeCell ref="F227:G227"/>
    <mergeCell ref="L207:M207"/>
    <mergeCell ref="L208:M208"/>
    <mergeCell ref="L209:M209"/>
    <mergeCell ref="L210:M210"/>
    <mergeCell ref="F223:G223"/>
    <mergeCell ref="C222:H222"/>
    <mergeCell ref="F207:G207"/>
  </mergeCells>
  <conditionalFormatting sqref="I46:I56 I60">
    <cfRule type="containsText" dxfId="29" priority="2" operator="containsText" text="999">
      <formula>NOT(ISERROR(SEARCH(("999"),(I46))))</formula>
    </cfRule>
  </conditionalFormatting>
  <conditionalFormatting sqref="K48:M48">
    <cfRule type="containsText" dxfId="28" priority="1" operator="containsText" text="999">
      <formula>NOT(ISERROR(SEARCH(("999"),(K48))))</formula>
    </cfRule>
  </conditionalFormatting>
  <pageMargins left="0.7" right="0.7" top="0.75" bottom="0.75" header="0.3" footer="0.3"/>
  <pageSetup orientation="portrait"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EA554-0B39-4EE1-BEEF-866D4A7FA934}">
  <sheetPr>
    <outlinePr summaryBelow="0" summaryRight="0"/>
  </sheetPr>
  <dimension ref="A1:AB94"/>
  <sheetViews>
    <sheetView zoomScaleNormal="100" workbookViewId="0">
      <selection activeCell="F51" sqref="F51"/>
    </sheetView>
  </sheetViews>
  <sheetFormatPr defaultColWidth="14.42578125" defaultRowHeight="15" customHeight="1"/>
  <cols>
    <col min="1" max="1" width="14.42578125" style="384"/>
    <col min="2" max="2" width="37" style="384" customWidth="1"/>
    <col min="3" max="3" width="17.42578125" style="384" bestFit="1" customWidth="1"/>
    <col min="4" max="4" width="18.140625" style="384" customWidth="1"/>
    <col min="5" max="5" width="18.7109375" style="384" bestFit="1" customWidth="1"/>
    <col min="6" max="6" width="22.85546875" style="384" customWidth="1"/>
    <col min="7" max="7" width="19.14062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16384" width="14.42578125" style="384"/>
  </cols>
  <sheetData>
    <row r="1" spans="1:28" ht="14.25">
      <c r="A1" s="448"/>
    </row>
    <row r="2" spans="1:28" ht="15" customHeight="1">
      <c r="B2" s="1726" t="s">
        <v>628</v>
      </c>
      <c r="C2" s="1726"/>
    </row>
    <row r="3" spans="1:28" ht="15" customHeight="1">
      <c r="B3" s="1726"/>
      <c r="C3" s="1726"/>
      <c r="Q3" s="449" t="s">
        <v>629</v>
      </c>
      <c r="R3" s="449">
        <v>130000</v>
      </c>
      <c r="S3" s="384" t="s">
        <v>630</v>
      </c>
    </row>
    <row r="4" spans="1:28" ht="15" customHeight="1">
      <c r="B4" s="1726"/>
      <c r="C4" s="1726"/>
      <c r="Q4" s="449" t="s">
        <v>631</v>
      </c>
      <c r="R4" s="450">
        <v>9000</v>
      </c>
    </row>
    <row r="5" spans="1:28"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row>
    <row r="6" spans="1:28"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row>
    <row r="7" spans="1:28" ht="15" customHeight="1">
      <c r="B7" s="458" t="s">
        <v>634</v>
      </c>
      <c r="C7" s="459">
        <v>600</v>
      </c>
      <c r="D7" s="452"/>
      <c r="E7" s="452">
        <f>$C$7/12</f>
        <v>50</v>
      </c>
      <c r="F7" s="452">
        <f t="shared" ref="F7:P7" si="0">$C$7/12</f>
        <v>50</v>
      </c>
      <c r="G7" s="452">
        <f t="shared" si="0"/>
        <v>50</v>
      </c>
      <c r="H7" s="452">
        <f t="shared" si="0"/>
        <v>50</v>
      </c>
      <c r="I7" s="452">
        <f t="shared" si="0"/>
        <v>50</v>
      </c>
      <c r="J7" s="452">
        <f t="shared" si="0"/>
        <v>50</v>
      </c>
      <c r="K7" s="452">
        <f t="shared" si="0"/>
        <v>50</v>
      </c>
      <c r="L7" s="452">
        <f t="shared" si="0"/>
        <v>50</v>
      </c>
      <c r="M7" s="452">
        <f t="shared" si="0"/>
        <v>50</v>
      </c>
      <c r="N7" s="452">
        <f t="shared" si="0"/>
        <v>50</v>
      </c>
      <c r="O7" s="452">
        <f t="shared" si="0"/>
        <v>50</v>
      </c>
      <c r="P7" s="452">
        <f t="shared" si="0"/>
        <v>50</v>
      </c>
      <c r="Q7" s="452">
        <f>R3/12</f>
        <v>10833.333333333334</v>
      </c>
      <c r="R7" s="452">
        <f>R3/12</f>
        <v>10833.333333333334</v>
      </c>
      <c r="S7" s="452">
        <f>R3/12</f>
        <v>10833.333333333334</v>
      </c>
      <c r="T7" s="452">
        <f>R3/12</f>
        <v>10833.333333333334</v>
      </c>
      <c r="U7" s="452">
        <f>R3/12</f>
        <v>10833.333333333334</v>
      </c>
      <c r="V7" s="452">
        <f>R3/12</f>
        <v>10833.333333333334</v>
      </c>
      <c r="W7" s="452">
        <f>R3/12</f>
        <v>10833.333333333334</v>
      </c>
      <c r="X7" s="452">
        <f>R3/12</f>
        <v>10833.333333333334</v>
      </c>
      <c r="Y7" s="452">
        <f>R3/12</f>
        <v>10833.333333333334</v>
      </c>
      <c r="Z7" s="452">
        <f>R3/12</f>
        <v>10833.333333333334</v>
      </c>
      <c r="AA7" s="452">
        <f>R3/12</f>
        <v>10833.333333333334</v>
      </c>
      <c r="AB7" s="452">
        <f>R3/12</f>
        <v>10833.333333333334</v>
      </c>
    </row>
    <row r="8" spans="1:28" ht="15" customHeight="1">
      <c r="B8" s="452"/>
      <c r="C8" s="452"/>
      <c r="D8" s="452"/>
      <c r="E8" s="452"/>
      <c r="F8" s="452"/>
      <c r="G8" s="452"/>
      <c r="H8" s="452"/>
      <c r="Q8" s="452"/>
      <c r="R8" s="452"/>
      <c r="S8" s="452"/>
      <c r="T8" s="452"/>
    </row>
    <row r="9" spans="1:28" ht="15" customHeight="1">
      <c r="B9" s="460" t="s">
        <v>220</v>
      </c>
      <c r="C9" s="450">
        <v>225</v>
      </c>
      <c r="D9" s="452"/>
      <c r="E9" s="452"/>
      <c r="F9" s="452"/>
      <c r="G9" s="452"/>
      <c r="H9" s="452"/>
      <c r="Q9" s="452"/>
      <c r="R9" s="452"/>
      <c r="S9" s="452"/>
      <c r="T9" s="452"/>
    </row>
    <row r="10" spans="1:28" ht="15" customHeight="1">
      <c r="B10" s="461" t="s">
        <v>635</v>
      </c>
      <c r="C10" s="462">
        <v>0</v>
      </c>
      <c r="D10" s="452"/>
      <c r="E10" s="463">
        <f>$C$10*$C$9*E7</f>
        <v>0</v>
      </c>
      <c r="F10" s="463">
        <f t="shared" ref="F10:P10" si="1">$C$10*$C$9*F7</f>
        <v>0</v>
      </c>
      <c r="G10" s="463">
        <f t="shared" si="1"/>
        <v>0</v>
      </c>
      <c r="H10" s="463">
        <f t="shared" si="1"/>
        <v>0</v>
      </c>
      <c r="I10" s="463">
        <f t="shared" si="1"/>
        <v>0</v>
      </c>
      <c r="J10" s="463">
        <f t="shared" si="1"/>
        <v>0</v>
      </c>
      <c r="K10" s="463">
        <f t="shared" si="1"/>
        <v>0</v>
      </c>
      <c r="L10" s="463">
        <f t="shared" si="1"/>
        <v>0</v>
      </c>
      <c r="M10" s="463">
        <f t="shared" si="1"/>
        <v>0</v>
      </c>
      <c r="N10" s="463">
        <f t="shared" si="1"/>
        <v>0</v>
      </c>
      <c r="O10" s="463">
        <f t="shared" si="1"/>
        <v>0</v>
      </c>
      <c r="P10" s="463">
        <f t="shared" si="1"/>
        <v>0</v>
      </c>
      <c r="Q10" s="463">
        <f>$C$10*R4*Q7</f>
        <v>0</v>
      </c>
      <c r="R10" s="463">
        <f>$C$10*R4*R7</f>
        <v>0</v>
      </c>
      <c r="S10" s="463">
        <f>$C$10*R4*S7</f>
        <v>0</v>
      </c>
      <c r="T10" s="463">
        <f>$C$10*R4*T7</f>
        <v>0</v>
      </c>
      <c r="U10" s="463">
        <f>$C$10*R4*U7</f>
        <v>0</v>
      </c>
      <c r="V10" s="463">
        <f>$C$10*R4*V7</f>
        <v>0</v>
      </c>
      <c r="W10" s="463">
        <f>$C$10*R4*W7</f>
        <v>0</v>
      </c>
      <c r="X10" s="463">
        <f>$C$10*R4*X7</f>
        <v>0</v>
      </c>
      <c r="Y10" s="463">
        <f>$C$10*R4*Y7</f>
        <v>0</v>
      </c>
      <c r="Z10" s="463">
        <f>$C$10*R4*Z7</f>
        <v>0</v>
      </c>
      <c r="AA10" s="463">
        <f>$C$10*R4*AA7</f>
        <v>0</v>
      </c>
      <c r="AB10" s="463">
        <f>$C$10*R4*AB7</f>
        <v>0</v>
      </c>
    </row>
    <row r="11" spans="1:28" ht="15" customHeight="1">
      <c r="B11" s="461" t="s">
        <v>636</v>
      </c>
      <c r="C11" s="462">
        <v>0.4</v>
      </c>
      <c r="D11" s="452"/>
      <c r="E11" s="463"/>
      <c r="F11" s="463">
        <f t="shared" ref="F11:P11" si="2">$C$11*$C$9*F7</f>
        <v>4500</v>
      </c>
      <c r="G11" s="463">
        <f t="shared" si="2"/>
        <v>4500</v>
      </c>
      <c r="H11" s="463">
        <f t="shared" si="2"/>
        <v>4500</v>
      </c>
      <c r="I11" s="463">
        <f t="shared" si="2"/>
        <v>4500</v>
      </c>
      <c r="J11" s="463">
        <f t="shared" si="2"/>
        <v>4500</v>
      </c>
      <c r="K11" s="463">
        <f t="shared" si="2"/>
        <v>4500</v>
      </c>
      <c r="L11" s="463">
        <f t="shared" si="2"/>
        <v>4500</v>
      </c>
      <c r="M11" s="463">
        <f t="shared" si="2"/>
        <v>4500</v>
      </c>
      <c r="N11" s="463">
        <f t="shared" si="2"/>
        <v>4500</v>
      </c>
      <c r="O11" s="463">
        <f t="shared" si="2"/>
        <v>4500</v>
      </c>
      <c r="P11" s="463">
        <f t="shared" si="2"/>
        <v>4500</v>
      </c>
      <c r="Q11" s="463">
        <f>$C$11*R4*Q7</f>
        <v>39000000</v>
      </c>
      <c r="R11" s="463">
        <f>$C$11*R4*R7</f>
        <v>39000000</v>
      </c>
      <c r="S11" s="463">
        <f>$C$11*R4*S7</f>
        <v>39000000</v>
      </c>
      <c r="T11" s="463">
        <f>$C$11*R4*T7</f>
        <v>39000000</v>
      </c>
      <c r="U11" s="463">
        <f>$C$11*R4*U7</f>
        <v>39000000</v>
      </c>
      <c r="V11" s="463">
        <f>$C$11*R4*V7</f>
        <v>39000000</v>
      </c>
      <c r="W11" s="463">
        <f>$C$11*R4*W7</f>
        <v>39000000</v>
      </c>
      <c r="X11" s="463">
        <f>$C$11*R4*X7</f>
        <v>39000000</v>
      </c>
      <c r="Y11" s="463">
        <f>$C$11*R4*Y7</f>
        <v>39000000</v>
      </c>
      <c r="Z11" s="463">
        <f>$C$11*R4*Z7</f>
        <v>39000000</v>
      </c>
      <c r="AA11" s="463">
        <f>$C$11*R4*AA7</f>
        <v>39000000</v>
      </c>
      <c r="AB11" s="463">
        <f>$C$11*R4*AB7</f>
        <v>39000000</v>
      </c>
    </row>
    <row r="12" spans="1:28" ht="15" customHeight="1">
      <c r="B12" s="461" t="s">
        <v>637</v>
      </c>
      <c r="C12" s="462">
        <v>0.6</v>
      </c>
      <c r="D12" s="452"/>
      <c r="E12" s="463"/>
      <c r="F12" s="463"/>
      <c r="G12" s="463">
        <f>$C12*$C$9*G7</f>
        <v>6750</v>
      </c>
      <c r="H12" s="463">
        <f t="shared" ref="H12:P12" si="3">$C12*$C$9*H7</f>
        <v>6750</v>
      </c>
      <c r="I12" s="463">
        <f t="shared" si="3"/>
        <v>6750</v>
      </c>
      <c r="J12" s="463">
        <f t="shared" si="3"/>
        <v>6750</v>
      </c>
      <c r="K12" s="463">
        <f t="shared" si="3"/>
        <v>6750</v>
      </c>
      <c r="L12" s="463">
        <f t="shared" si="3"/>
        <v>6750</v>
      </c>
      <c r="M12" s="463">
        <f t="shared" si="3"/>
        <v>6750</v>
      </c>
      <c r="N12" s="463">
        <f t="shared" si="3"/>
        <v>6750</v>
      </c>
      <c r="O12" s="463">
        <f t="shared" si="3"/>
        <v>6750</v>
      </c>
      <c r="P12" s="463">
        <f t="shared" si="3"/>
        <v>6750</v>
      </c>
      <c r="Q12" s="463">
        <f>$C12*R4*Q7</f>
        <v>58500000</v>
      </c>
      <c r="R12" s="463">
        <f>$C12*R4*R7</f>
        <v>58500000</v>
      </c>
      <c r="S12" s="463">
        <f>$C12*R4*S7</f>
        <v>58500000</v>
      </c>
      <c r="T12" s="463">
        <f>$C12*R4*T7</f>
        <v>58500000</v>
      </c>
      <c r="U12" s="463">
        <f>$C12*R4*U7</f>
        <v>58500000</v>
      </c>
      <c r="V12" s="463">
        <f>$C12*R4*V7</f>
        <v>58500000</v>
      </c>
      <c r="W12" s="463">
        <f>$C12*R4*W7</f>
        <v>58500000</v>
      </c>
      <c r="X12" s="463">
        <f>$C12*R4*X7</f>
        <v>58500000</v>
      </c>
      <c r="Y12" s="463">
        <f>$C12*R4*Y7</f>
        <v>58500000</v>
      </c>
      <c r="Z12" s="463">
        <f>$C12*R4*Z7</f>
        <v>58500000</v>
      </c>
      <c r="AA12" s="463">
        <f>$C12*R4*AA7</f>
        <v>58500000</v>
      </c>
      <c r="AB12" s="463">
        <f>$C12*R4*AB7</f>
        <v>58500000</v>
      </c>
    </row>
    <row r="13" spans="1:28" ht="15" customHeight="1">
      <c r="B13" s="464" t="s">
        <v>638</v>
      </c>
      <c r="C13" s="465">
        <v>0</v>
      </c>
      <c r="D13" s="466"/>
      <c r="E13" s="467"/>
      <c r="F13" s="467"/>
      <c r="G13" s="467"/>
      <c r="H13" s="467">
        <f t="shared" ref="H13:P13" si="4">$C$13*$C$9*H7</f>
        <v>0</v>
      </c>
      <c r="I13" s="467">
        <f t="shared" si="4"/>
        <v>0</v>
      </c>
      <c r="J13" s="467">
        <f t="shared" si="4"/>
        <v>0</v>
      </c>
      <c r="K13" s="467">
        <f t="shared" si="4"/>
        <v>0</v>
      </c>
      <c r="L13" s="467">
        <f t="shared" si="4"/>
        <v>0</v>
      </c>
      <c r="M13" s="467">
        <f t="shared" si="4"/>
        <v>0</v>
      </c>
      <c r="N13" s="467">
        <f t="shared" si="4"/>
        <v>0</v>
      </c>
      <c r="O13" s="467">
        <f t="shared" si="4"/>
        <v>0</v>
      </c>
      <c r="P13" s="467">
        <f t="shared" si="4"/>
        <v>0</v>
      </c>
      <c r="Q13" s="467">
        <f>$C$13*R4*Q7</f>
        <v>0</v>
      </c>
      <c r="R13" s="467">
        <f>$C$13*R4*R7</f>
        <v>0</v>
      </c>
      <c r="S13" s="467">
        <f>$C$13*R4*S7</f>
        <v>0</v>
      </c>
      <c r="T13" s="467">
        <f>$C$13*R4*T7</f>
        <v>0</v>
      </c>
      <c r="U13" s="467">
        <f>$C$13*R4*U7</f>
        <v>0</v>
      </c>
      <c r="V13" s="467">
        <f>$C$13*R4*V7</f>
        <v>0</v>
      </c>
      <c r="W13" s="467">
        <f>$C$13*R4*W7</f>
        <v>0</v>
      </c>
      <c r="X13" s="467">
        <f>$C$13*R4*X7</f>
        <v>0</v>
      </c>
      <c r="Y13" s="467">
        <f>$C$13*R4*Y7</f>
        <v>0</v>
      </c>
      <c r="Z13" s="467">
        <f>$C$13*R4*Z7</f>
        <v>0</v>
      </c>
      <c r="AA13" s="467">
        <f>$C$13*R4*AA7</f>
        <v>0</v>
      </c>
      <c r="AB13" s="467">
        <f>$C$13*R4*AB7</f>
        <v>0</v>
      </c>
    </row>
    <row r="14" spans="1:28" ht="15" customHeight="1">
      <c r="B14" s="461"/>
      <c r="C14" s="468">
        <f>SUM(C10:C13)</f>
        <v>1</v>
      </c>
      <c r="D14" s="452"/>
      <c r="E14" s="463">
        <f t="shared" ref="E14:AB14" si="5">SUM(E10:E13)</f>
        <v>0</v>
      </c>
      <c r="F14" s="463">
        <f t="shared" si="5"/>
        <v>4500</v>
      </c>
      <c r="G14" s="463">
        <f t="shared" si="5"/>
        <v>11250</v>
      </c>
      <c r="H14" s="463">
        <f t="shared" si="5"/>
        <v>11250</v>
      </c>
      <c r="I14" s="463">
        <f t="shared" si="5"/>
        <v>11250</v>
      </c>
      <c r="J14" s="463">
        <f t="shared" si="5"/>
        <v>11250</v>
      </c>
      <c r="K14" s="463">
        <f t="shared" si="5"/>
        <v>11250</v>
      </c>
      <c r="L14" s="463">
        <f t="shared" si="5"/>
        <v>11250</v>
      </c>
      <c r="M14" s="463">
        <f t="shared" si="5"/>
        <v>11250</v>
      </c>
      <c r="N14" s="463">
        <f t="shared" si="5"/>
        <v>11250</v>
      </c>
      <c r="O14" s="463">
        <f t="shared" si="5"/>
        <v>11250</v>
      </c>
      <c r="P14" s="463">
        <f t="shared" si="5"/>
        <v>11250</v>
      </c>
      <c r="Q14" s="463">
        <f t="shared" si="5"/>
        <v>97500000</v>
      </c>
      <c r="R14" s="463">
        <f t="shared" si="5"/>
        <v>97500000</v>
      </c>
      <c r="S14" s="463">
        <f t="shared" si="5"/>
        <v>97500000</v>
      </c>
      <c r="T14" s="463">
        <f t="shared" si="5"/>
        <v>97500000</v>
      </c>
      <c r="U14" s="463">
        <f t="shared" si="5"/>
        <v>97500000</v>
      </c>
      <c r="V14" s="463">
        <f t="shared" si="5"/>
        <v>97500000</v>
      </c>
      <c r="W14" s="463">
        <f t="shared" si="5"/>
        <v>97500000</v>
      </c>
      <c r="X14" s="463">
        <f t="shared" si="5"/>
        <v>97500000</v>
      </c>
      <c r="Y14" s="463">
        <f t="shared" si="5"/>
        <v>97500000</v>
      </c>
      <c r="Z14" s="463">
        <f t="shared" si="5"/>
        <v>97500000</v>
      </c>
      <c r="AA14" s="463">
        <f t="shared" si="5"/>
        <v>97500000</v>
      </c>
      <c r="AB14" s="463">
        <f t="shared" si="5"/>
        <v>97500000</v>
      </c>
    </row>
    <row r="15" spans="1:28" ht="15" customHeight="1">
      <c r="B15" s="453" t="s">
        <v>639</v>
      </c>
      <c r="C15" s="452"/>
      <c r="D15" s="452"/>
      <c r="E15" s="452"/>
      <c r="F15" s="452"/>
      <c r="G15" s="452"/>
      <c r="H15" s="452"/>
      <c r="J15" s="469"/>
      <c r="K15" s="469"/>
      <c r="L15" s="469"/>
      <c r="M15" s="469"/>
      <c r="N15" s="469"/>
      <c r="Q15" s="452"/>
      <c r="R15" s="452"/>
      <c r="S15" s="452"/>
      <c r="T15" s="452"/>
      <c r="V15" s="469"/>
      <c r="W15" s="469"/>
      <c r="X15" s="469"/>
      <c r="Y15" s="469"/>
      <c r="Z15" s="469"/>
    </row>
    <row r="16" spans="1:28" ht="15" customHeight="1">
      <c r="B16" s="452" t="s">
        <v>640</v>
      </c>
      <c r="C16" s="470">
        <v>0</v>
      </c>
      <c r="D16" s="452"/>
      <c r="E16" s="471">
        <f>-E14*(0.65)*$C$16</f>
        <v>0</v>
      </c>
      <c r="F16" s="471">
        <f>-F14*$C$16</f>
        <v>0</v>
      </c>
      <c r="G16" s="471">
        <f t="shared" ref="G16:P16" si="6">-G14*(0.65)*$C$16</f>
        <v>0</v>
      </c>
      <c r="H16" s="471">
        <f t="shared" si="6"/>
        <v>0</v>
      </c>
      <c r="I16" s="471">
        <f t="shared" si="6"/>
        <v>0</v>
      </c>
      <c r="J16" s="471">
        <f t="shared" si="6"/>
        <v>0</v>
      </c>
      <c r="K16" s="471">
        <f t="shared" si="6"/>
        <v>0</v>
      </c>
      <c r="L16" s="471">
        <f t="shared" si="6"/>
        <v>0</v>
      </c>
      <c r="M16" s="471">
        <f t="shared" si="6"/>
        <v>0</v>
      </c>
      <c r="N16" s="471">
        <f t="shared" si="6"/>
        <v>0</v>
      </c>
      <c r="O16" s="471">
        <f t="shared" si="6"/>
        <v>0</v>
      </c>
      <c r="P16" s="471">
        <f t="shared" si="6"/>
        <v>0</v>
      </c>
      <c r="Q16" s="471">
        <f>-Q14*(0.65)*$C$16</f>
        <v>0</v>
      </c>
      <c r="R16" s="471">
        <f t="shared" ref="R16:AB16" si="7">-R14*(0.65)*$C$16</f>
        <v>0</v>
      </c>
      <c r="S16" s="471">
        <f t="shared" si="7"/>
        <v>0</v>
      </c>
      <c r="T16" s="471">
        <f t="shared" si="7"/>
        <v>0</v>
      </c>
      <c r="U16" s="471">
        <f t="shared" si="7"/>
        <v>0</v>
      </c>
      <c r="V16" s="471">
        <f t="shared" si="7"/>
        <v>0</v>
      </c>
      <c r="W16" s="471">
        <f t="shared" si="7"/>
        <v>0</v>
      </c>
      <c r="X16" s="471">
        <f t="shared" si="7"/>
        <v>0</v>
      </c>
      <c r="Y16" s="471">
        <f t="shared" si="7"/>
        <v>0</v>
      </c>
      <c r="Z16" s="471">
        <f t="shared" si="7"/>
        <v>0</v>
      </c>
      <c r="AA16" s="471">
        <f t="shared" si="7"/>
        <v>0</v>
      </c>
      <c r="AB16" s="471">
        <f t="shared" si="7"/>
        <v>0</v>
      </c>
    </row>
    <row r="17" spans="2:28" ht="15" customHeight="1">
      <c r="B17" s="472" t="s">
        <v>640</v>
      </c>
      <c r="C17" s="473">
        <v>0</v>
      </c>
      <c r="D17" s="472"/>
      <c r="E17" s="474">
        <f>-E14*(0.35)*$C$17</f>
        <v>0</v>
      </c>
      <c r="F17" s="474">
        <f>-F14*$C$17</f>
        <v>0</v>
      </c>
      <c r="G17" s="474">
        <f t="shared" ref="G17:P17" si="8">-G14*(0.35)*$C$17</f>
        <v>0</v>
      </c>
      <c r="H17" s="474">
        <f t="shared" si="8"/>
        <v>0</v>
      </c>
      <c r="I17" s="474">
        <f t="shared" si="8"/>
        <v>0</v>
      </c>
      <c r="J17" s="474">
        <f t="shared" si="8"/>
        <v>0</v>
      </c>
      <c r="K17" s="474">
        <f t="shared" si="8"/>
        <v>0</v>
      </c>
      <c r="L17" s="474">
        <f t="shared" si="8"/>
        <v>0</v>
      </c>
      <c r="M17" s="474">
        <f t="shared" si="8"/>
        <v>0</v>
      </c>
      <c r="N17" s="474">
        <f t="shared" si="8"/>
        <v>0</v>
      </c>
      <c r="O17" s="474">
        <f t="shared" si="8"/>
        <v>0</v>
      </c>
      <c r="P17" s="474">
        <f t="shared" si="8"/>
        <v>0</v>
      </c>
      <c r="Q17" s="474">
        <f>-Q14*(0.35)*$C$17</f>
        <v>0</v>
      </c>
      <c r="R17" s="474">
        <f t="shared" ref="R17:AB17" si="9">-R14*(0.35)*$C$17</f>
        <v>0</v>
      </c>
      <c r="S17" s="474">
        <f t="shared" si="9"/>
        <v>0</v>
      </c>
      <c r="T17" s="474">
        <f t="shared" si="9"/>
        <v>0</v>
      </c>
      <c r="U17" s="474">
        <f t="shared" si="9"/>
        <v>0</v>
      </c>
      <c r="V17" s="474">
        <f t="shared" si="9"/>
        <v>0</v>
      </c>
      <c r="W17" s="474">
        <f t="shared" si="9"/>
        <v>0</v>
      </c>
      <c r="X17" s="474">
        <f t="shared" si="9"/>
        <v>0</v>
      </c>
      <c r="Y17" s="474">
        <f t="shared" si="9"/>
        <v>0</v>
      </c>
      <c r="Z17" s="474">
        <f t="shared" si="9"/>
        <v>0</v>
      </c>
      <c r="AA17" s="474">
        <f t="shared" si="9"/>
        <v>0</v>
      </c>
      <c r="AB17" s="474">
        <f t="shared" si="9"/>
        <v>0</v>
      </c>
    </row>
    <row r="18" spans="2:28" ht="15" customHeight="1">
      <c r="B18" s="452"/>
      <c r="C18" s="452"/>
      <c r="D18" s="452"/>
      <c r="E18" s="463">
        <f>SUM(E14:E17)</f>
        <v>0</v>
      </c>
      <c r="F18" s="463">
        <f t="shared" ref="F18:P18" si="10">SUM(F14:F17)</f>
        <v>4500</v>
      </c>
      <c r="G18" s="463">
        <f t="shared" si="10"/>
        <v>11250</v>
      </c>
      <c r="H18" s="463">
        <f t="shared" si="10"/>
        <v>11250</v>
      </c>
      <c r="I18" s="463">
        <f t="shared" si="10"/>
        <v>11250</v>
      </c>
      <c r="J18" s="463">
        <f t="shared" si="10"/>
        <v>11250</v>
      </c>
      <c r="K18" s="463">
        <f t="shared" si="10"/>
        <v>11250</v>
      </c>
      <c r="L18" s="463">
        <f t="shared" si="10"/>
        <v>11250</v>
      </c>
      <c r="M18" s="463">
        <f t="shared" si="10"/>
        <v>11250</v>
      </c>
      <c r="N18" s="463">
        <f t="shared" si="10"/>
        <v>11250</v>
      </c>
      <c r="O18" s="463">
        <f t="shared" si="10"/>
        <v>11250</v>
      </c>
      <c r="P18" s="463">
        <f t="shared" si="10"/>
        <v>11250</v>
      </c>
      <c r="Q18" s="463">
        <f>SUM(Q14:Q17)</f>
        <v>97500000</v>
      </c>
      <c r="R18" s="463">
        <f t="shared" ref="R18:AB18" si="11">SUM(R14:R17)</f>
        <v>97500000</v>
      </c>
      <c r="S18" s="463">
        <f t="shared" si="11"/>
        <v>97500000</v>
      </c>
      <c r="T18" s="463">
        <f t="shared" si="11"/>
        <v>97500000</v>
      </c>
      <c r="U18" s="463">
        <f t="shared" si="11"/>
        <v>97500000</v>
      </c>
      <c r="V18" s="463">
        <f t="shared" si="11"/>
        <v>97500000</v>
      </c>
      <c r="W18" s="463">
        <f t="shared" si="11"/>
        <v>97500000</v>
      </c>
      <c r="X18" s="463">
        <f t="shared" si="11"/>
        <v>97500000</v>
      </c>
      <c r="Y18" s="463">
        <f t="shared" si="11"/>
        <v>97500000</v>
      </c>
      <c r="Z18" s="463">
        <f t="shared" si="11"/>
        <v>97500000</v>
      </c>
      <c r="AA18" s="463">
        <f t="shared" si="11"/>
        <v>97500000</v>
      </c>
      <c r="AB18" s="463">
        <f t="shared" si="11"/>
        <v>97500000</v>
      </c>
    </row>
    <row r="19" spans="2:28" ht="15" customHeight="1">
      <c r="B19" s="452"/>
      <c r="C19" s="452"/>
      <c r="D19" s="452"/>
      <c r="E19" s="452"/>
      <c r="F19" s="452"/>
      <c r="G19" s="452"/>
      <c r="H19" s="452"/>
      <c r="J19" s="469"/>
      <c r="K19" s="469"/>
      <c r="L19" s="469"/>
      <c r="M19" s="469"/>
      <c r="N19" s="469"/>
      <c r="Q19" s="452"/>
      <c r="R19" s="452"/>
      <c r="S19" s="452"/>
      <c r="T19" s="452"/>
      <c r="V19" s="469"/>
      <c r="W19" s="469"/>
      <c r="X19" s="469"/>
      <c r="Y19" s="469"/>
      <c r="Z19" s="469"/>
    </row>
    <row r="20" spans="2:28" ht="15" customHeight="1">
      <c r="B20" s="452"/>
      <c r="C20" s="452"/>
      <c r="D20" s="452"/>
      <c r="E20" s="1727" t="s">
        <v>451</v>
      </c>
      <c r="F20" s="1727"/>
      <c r="G20" s="1727"/>
      <c r="H20" s="1727"/>
      <c r="I20" s="1727"/>
      <c r="J20" s="1727"/>
      <c r="K20" s="1727"/>
      <c r="L20" s="1727"/>
      <c r="M20" s="1727"/>
      <c r="N20" s="1727"/>
      <c r="O20" s="1727"/>
      <c r="P20" s="1727"/>
      <c r="Q20" s="1727" t="s">
        <v>632</v>
      </c>
      <c r="R20" s="1727"/>
      <c r="S20" s="1727"/>
      <c r="T20" s="1727"/>
      <c r="U20" s="1727"/>
      <c r="V20" s="1727"/>
      <c r="W20" s="1727"/>
      <c r="X20" s="1727"/>
      <c r="Y20" s="1727"/>
      <c r="Z20" s="1727"/>
      <c r="AA20" s="1727"/>
      <c r="AB20" s="1727"/>
    </row>
    <row r="21" spans="2:28" ht="15" customHeight="1">
      <c r="B21" s="451" t="s">
        <v>451</v>
      </c>
      <c r="C21" s="452"/>
      <c r="D21" s="475">
        <v>0</v>
      </c>
      <c r="E21" s="475">
        <v>1</v>
      </c>
      <c r="F21" s="475">
        <v>2</v>
      </c>
      <c r="G21" s="475">
        <v>3</v>
      </c>
      <c r="H21" s="475">
        <v>4</v>
      </c>
      <c r="I21" s="475">
        <v>5</v>
      </c>
      <c r="J21" s="475">
        <v>6</v>
      </c>
      <c r="K21" s="475">
        <v>7</v>
      </c>
      <c r="L21" s="475">
        <v>8</v>
      </c>
      <c r="M21" s="475">
        <v>9</v>
      </c>
      <c r="N21" s="475">
        <v>10</v>
      </c>
      <c r="O21" s="475">
        <v>11</v>
      </c>
      <c r="P21" s="475">
        <v>12</v>
      </c>
      <c r="Q21" s="475">
        <v>13</v>
      </c>
      <c r="R21" s="475">
        <v>14</v>
      </c>
      <c r="S21" s="475">
        <v>15</v>
      </c>
      <c r="T21" s="475">
        <v>16</v>
      </c>
      <c r="U21" s="475">
        <v>17</v>
      </c>
      <c r="V21" s="475">
        <v>18</v>
      </c>
      <c r="W21" s="475">
        <v>19</v>
      </c>
      <c r="X21" s="475">
        <v>20</v>
      </c>
      <c r="Y21" s="475">
        <v>21</v>
      </c>
      <c r="Z21" s="475">
        <v>22</v>
      </c>
      <c r="AA21" s="475">
        <v>23</v>
      </c>
      <c r="AB21" s="475">
        <v>24</v>
      </c>
    </row>
    <row r="22" spans="2:28" ht="15" customHeight="1">
      <c r="B22" s="476" t="s">
        <v>641</v>
      </c>
      <c r="C22" s="452"/>
      <c r="D22" s="452"/>
      <c r="E22" s="452"/>
      <c r="F22" s="452"/>
      <c r="G22" s="452"/>
      <c r="H22" s="452"/>
      <c r="J22" s="469"/>
      <c r="K22" s="469"/>
      <c r="L22" s="469"/>
      <c r="M22" s="469"/>
      <c r="N22" s="469"/>
      <c r="Q22" s="452"/>
      <c r="R22" s="452"/>
      <c r="S22" s="452"/>
      <c r="T22" s="452"/>
      <c r="V22" s="469"/>
      <c r="W22" s="469"/>
      <c r="X22" s="469"/>
      <c r="Y22" s="469"/>
      <c r="Z22" s="469"/>
    </row>
    <row r="23" spans="2:28" ht="15" customHeight="1">
      <c r="B23" s="452" t="s">
        <v>184</v>
      </c>
      <c r="C23" s="452"/>
      <c r="D23" s="452"/>
      <c r="E23" s="463">
        <f>E18</f>
        <v>0</v>
      </c>
      <c r="F23" s="463">
        <f t="shared" ref="F23:P23" si="12">F18</f>
        <v>4500</v>
      </c>
      <c r="G23" s="463">
        <f t="shared" si="12"/>
        <v>11250</v>
      </c>
      <c r="H23" s="463">
        <f t="shared" si="12"/>
        <v>11250</v>
      </c>
      <c r="I23" s="463">
        <f t="shared" si="12"/>
        <v>11250</v>
      </c>
      <c r="J23" s="463">
        <f t="shared" si="12"/>
        <v>11250</v>
      </c>
      <c r="K23" s="463">
        <f t="shared" si="12"/>
        <v>11250</v>
      </c>
      <c r="L23" s="463">
        <f t="shared" si="12"/>
        <v>11250</v>
      </c>
      <c r="M23" s="463">
        <f t="shared" si="12"/>
        <v>11250</v>
      </c>
      <c r="N23" s="463">
        <f t="shared" si="12"/>
        <v>11250</v>
      </c>
      <c r="O23" s="463">
        <f t="shared" si="12"/>
        <v>11250</v>
      </c>
      <c r="P23" s="463">
        <f t="shared" si="12"/>
        <v>11250</v>
      </c>
      <c r="Q23" s="463">
        <f>Q18</f>
        <v>97500000</v>
      </c>
      <c r="R23" s="463">
        <f t="shared" ref="R23:AB23" si="13">R18</f>
        <v>97500000</v>
      </c>
      <c r="S23" s="463">
        <f t="shared" si="13"/>
        <v>97500000</v>
      </c>
      <c r="T23" s="463">
        <f t="shared" si="13"/>
        <v>97500000</v>
      </c>
      <c r="U23" s="463">
        <f t="shared" si="13"/>
        <v>97500000</v>
      </c>
      <c r="V23" s="463">
        <f t="shared" si="13"/>
        <v>97500000</v>
      </c>
      <c r="W23" s="463">
        <f t="shared" si="13"/>
        <v>97500000</v>
      </c>
      <c r="X23" s="463">
        <f t="shared" si="13"/>
        <v>97500000</v>
      </c>
      <c r="Y23" s="463">
        <f t="shared" si="13"/>
        <v>97500000</v>
      </c>
      <c r="Z23" s="463">
        <f t="shared" si="13"/>
        <v>97500000</v>
      </c>
      <c r="AA23" s="463">
        <f t="shared" si="13"/>
        <v>97500000</v>
      </c>
      <c r="AB23" s="463">
        <f t="shared" si="13"/>
        <v>97500000</v>
      </c>
    </row>
    <row r="24" spans="2:28" ht="15" customHeight="1">
      <c r="B24" s="452"/>
      <c r="C24" s="452"/>
      <c r="D24" s="452"/>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row>
    <row r="25" spans="2:28" s="479" customFormat="1" ht="15" customHeight="1">
      <c r="B25" s="458" t="s">
        <v>642</v>
      </c>
      <c r="C25" s="477">
        <v>600</v>
      </c>
      <c r="D25" s="478"/>
      <c r="E25" s="478">
        <f>$C$25/12</f>
        <v>50</v>
      </c>
      <c r="F25" s="478">
        <f t="shared" ref="F25:AB25" si="14">$C$25/12</f>
        <v>50</v>
      </c>
      <c r="G25" s="478">
        <f t="shared" si="14"/>
        <v>50</v>
      </c>
      <c r="H25" s="478">
        <f t="shared" si="14"/>
        <v>50</v>
      </c>
      <c r="I25" s="478">
        <f t="shared" si="14"/>
        <v>50</v>
      </c>
      <c r="J25" s="478">
        <f t="shared" si="14"/>
        <v>50</v>
      </c>
      <c r="K25" s="478">
        <f t="shared" si="14"/>
        <v>50</v>
      </c>
      <c r="L25" s="478">
        <f t="shared" si="14"/>
        <v>50</v>
      </c>
      <c r="M25" s="478">
        <f t="shared" si="14"/>
        <v>50</v>
      </c>
      <c r="N25" s="478">
        <f t="shared" si="14"/>
        <v>50</v>
      </c>
      <c r="O25" s="478">
        <f t="shared" si="14"/>
        <v>50</v>
      </c>
      <c r="P25" s="478">
        <f t="shared" si="14"/>
        <v>50</v>
      </c>
      <c r="Q25" s="478">
        <f>$C$25/12</f>
        <v>50</v>
      </c>
      <c r="R25" s="478">
        <f t="shared" si="14"/>
        <v>50</v>
      </c>
      <c r="S25" s="478">
        <f t="shared" si="14"/>
        <v>50</v>
      </c>
      <c r="T25" s="478">
        <f t="shared" si="14"/>
        <v>50</v>
      </c>
      <c r="U25" s="478">
        <f t="shared" si="14"/>
        <v>50</v>
      </c>
      <c r="V25" s="478">
        <f t="shared" si="14"/>
        <v>50</v>
      </c>
      <c r="W25" s="478">
        <f t="shared" si="14"/>
        <v>50</v>
      </c>
      <c r="X25" s="478">
        <f t="shared" si="14"/>
        <v>50</v>
      </c>
      <c r="Y25" s="478">
        <f t="shared" si="14"/>
        <v>50</v>
      </c>
      <c r="Z25" s="478">
        <f t="shared" si="14"/>
        <v>50</v>
      </c>
      <c r="AA25" s="478">
        <f t="shared" si="14"/>
        <v>50</v>
      </c>
      <c r="AB25" s="478">
        <f t="shared" si="14"/>
        <v>50</v>
      </c>
    </row>
    <row r="26" spans="2:28" ht="15" customHeight="1">
      <c r="B26" s="476" t="s">
        <v>643</v>
      </c>
      <c r="C26" s="452"/>
      <c r="D26" s="452"/>
      <c r="E26" s="452"/>
      <c r="F26" s="452"/>
      <c r="G26" s="452"/>
      <c r="H26" s="452"/>
      <c r="J26" s="469"/>
      <c r="K26" s="469"/>
      <c r="L26" s="469"/>
      <c r="M26" s="469"/>
      <c r="N26" s="469"/>
      <c r="Q26" s="452"/>
      <c r="R26" s="452"/>
      <c r="S26" s="452"/>
      <c r="T26" s="452"/>
      <c r="V26" s="469"/>
      <c r="W26" s="469"/>
      <c r="X26" s="469"/>
      <c r="Y26" s="469"/>
      <c r="Z26" s="469"/>
    </row>
    <row r="27" spans="2:28" ht="15" customHeight="1">
      <c r="B27" s="480" t="s">
        <v>644</v>
      </c>
      <c r="C27" s="452"/>
      <c r="D27" s="452"/>
      <c r="E27" s="452"/>
      <c r="F27" s="452"/>
      <c r="G27" s="452"/>
      <c r="H27" s="452"/>
      <c r="J27" s="469"/>
      <c r="K27" s="469"/>
      <c r="L27" s="469"/>
      <c r="M27" s="469"/>
      <c r="N27" s="469"/>
      <c r="Q27" s="452"/>
      <c r="R27" s="452"/>
      <c r="S27" s="452"/>
      <c r="T27" s="452"/>
      <c r="V27" s="469"/>
      <c r="W27" s="469"/>
      <c r="X27" s="469"/>
      <c r="Y27" s="469"/>
      <c r="Z27" s="469"/>
    </row>
    <row r="28" spans="2:28">
      <c r="B28" s="452" t="s">
        <v>598</v>
      </c>
      <c r="C28" s="450">
        <v>0</v>
      </c>
      <c r="D28" s="452"/>
      <c r="E28" s="471">
        <f>-$C28*$E$25</f>
        <v>0</v>
      </c>
      <c r="F28" s="471">
        <f t="shared" ref="F28:P28" si="15">-$C28*F25</f>
        <v>0</v>
      </c>
      <c r="G28" s="471">
        <f t="shared" si="15"/>
        <v>0</v>
      </c>
      <c r="H28" s="471">
        <f t="shared" si="15"/>
        <v>0</v>
      </c>
      <c r="I28" s="471">
        <f t="shared" si="15"/>
        <v>0</v>
      </c>
      <c r="J28" s="471">
        <f t="shared" si="15"/>
        <v>0</v>
      </c>
      <c r="K28" s="471">
        <f t="shared" si="15"/>
        <v>0</v>
      </c>
      <c r="L28" s="471">
        <f t="shared" si="15"/>
        <v>0</v>
      </c>
      <c r="M28" s="471">
        <f t="shared" si="15"/>
        <v>0</v>
      </c>
      <c r="N28" s="471">
        <f t="shared" si="15"/>
        <v>0</v>
      </c>
      <c r="O28" s="471">
        <f t="shared" si="15"/>
        <v>0</v>
      </c>
      <c r="P28" s="471">
        <f t="shared" si="15"/>
        <v>0</v>
      </c>
      <c r="Q28" s="471">
        <f>-$C28*Q25</f>
        <v>0</v>
      </c>
      <c r="R28" s="471">
        <f t="shared" ref="R28:AB28" si="16">-$C28*R25</f>
        <v>0</v>
      </c>
      <c r="S28" s="471">
        <f t="shared" si="16"/>
        <v>0</v>
      </c>
      <c r="T28" s="471">
        <f t="shared" si="16"/>
        <v>0</v>
      </c>
      <c r="U28" s="471">
        <f t="shared" si="16"/>
        <v>0</v>
      </c>
      <c r="V28" s="471">
        <f t="shared" si="16"/>
        <v>0</v>
      </c>
      <c r="W28" s="471">
        <f t="shared" si="16"/>
        <v>0</v>
      </c>
      <c r="X28" s="471">
        <f t="shared" si="16"/>
        <v>0</v>
      </c>
      <c r="Y28" s="471">
        <f t="shared" si="16"/>
        <v>0</v>
      </c>
      <c r="Z28" s="471">
        <f t="shared" si="16"/>
        <v>0</v>
      </c>
      <c r="AA28" s="471">
        <f t="shared" si="16"/>
        <v>0</v>
      </c>
      <c r="AB28" s="471">
        <f t="shared" si="16"/>
        <v>0</v>
      </c>
    </row>
    <row r="29" spans="2:28">
      <c r="B29" s="452" t="s">
        <v>645</v>
      </c>
      <c r="C29" s="450">
        <v>0</v>
      </c>
      <c r="D29" s="452"/>
      <c r="E29" s="471">
        <f>-$C29*$E$25</f>
        <v>0</v>
      </c>
      <c r="F29" s="471">
        <f t="shared" ref="F29:P29" si="17">-$C29*F25</f>
        <v>0</v>
      </c>
      <c r="G29" s="471">
        <f t="shared" si="17"/>
        <v>0</v>
      </c>
      <c r="H29" s="471">
        <f t="shared" si="17"/>
        <v>0</v>
      </c>
      <c r="I29" s="471">
        <f t="shared" si="17"/>
        <v>0</v>
      </c>
      <c r="J29" s="471">
        <f t="shared" si="17"/>
        <v>0</v>
      </c>
      <c r="K29" s="471">
        <f t="shared" si="17"/>
        <v>0</v>
      </c>
      <c r="L29" s="471">
        <f t="shared" si="17"/>
        <v>0</v>
      </c>
      <c r="M29" s="471">
        <f t="shared" si="17"/>
        <v>0</v>
      </c>
      <c r="N29" s="471">
        <f t="shared" si="17"/>
        <v>0</v>
      </c>
      <c r="O29" s="471">
        <f t="shared" si="17"/>
        <v>0</v>
      </c>
      <c r="P29" s="471">
        <f t="shared" si="17"/>
        <v>0</v>
      </c>
      <c r="Q29" s="471">
        <f>-$C29*Q25</f>
        <v>0</v>
      </c>
      <c r="R29" s="471">
        <f t="shared" ref="R29:AB29" si="18">-$C29*R25</f>
        <v>0</v>
      </c>
      <c r="S29" s="471">
        <f t="shared" si="18"/>
        <v>0</v>
      </c>
      <c r="T29" s="471">
        <f t="shared" si="18"/>
        <v>0</v>
      </c>
      <c r="U29" s="471">
        <f t="shared" si="18"/>
        <v>0</v>
      </c>
      <c r="V29" s="471">
        <f t="shared" si="18"/>
        <v>0</v>
      </c>
      <c r="W29" s="471">
        <f t="shared" si="18"/>
        <v>0</v>
      </c>
      <c r="X29" s="471">
        <f t="shared" si="18"/>
        <v>0</v>
      </c>
      <c r="Y29" s="471">
        <f t="shared" si="18"/>
        <v>0</v>
      </c>
      <c r="Z29" s="471">
        <f t="shared" si="18"/>
        <v>0</v>
      </c>
      <c r="AA29" s="471">
        <f t="shared" si="18"/>
        <v>0</v>
      </c>
      <c r="AB29" s="471">
        <f t="shared" si="18"/>
        <v>0</v>
      </c>
    </row>
    <row r="30" spans="2:28">
      <c r="B30" s="452" t="s">
        <v>600</v>
      </c>
      <c r="C30" s="450"/>
      <c r="D30" s="452"/>
      <c r="E30" s="471">
        <f>-$C30*$E$25</f>
        <v>0</v>
      </c>
      <c r="F30" s="471">
        <f t="shared" ref="F30:P30" si="19">-$C30*F25</f>
        <v>0</v>
      </c>
      <c r="G30" s="471">
        <f t="shared" si="19"/>
        <v>0</v>
      </c>
      <c r="H30" s="471">
        <f t="shared" si="19"/>
        <v>0</v>
      </c>
      <c r="I30" s="471">
        <f t="shared" si="19"/>
        <v>0</v>
      </c>
      <c r="J30" s="471">
        <f t="shared" si="19"/>
        <v>0</v>
      </c>
      <c r="K30" s="471">
        <f t="shared" si="19"/>
        <v>0</v>
      </c>
      <c r="L30" s="471">
        <f t="shared" si="19"/>
        <v>0</v>
      </c>
      <c r="M30" s="471">
        <f t="shared" si="19"/>
        <v>0</v>
      </c>
      <c r="N30" s="471">
        <f t="shared" si="19"/>
        <v>0</v>
      </c>
      <c r="O30" s="471">
        <f t="shared" si="19"/>
        <v>0</v>
      </c>
      <c r="P30" s="471">
        <f t="shared" si="19"/>
        <v>0</v>
      </c>
      <c r="Q30" s="471">
        <f>-$C30*Q25</f>
        <v>0</v>
      </c>
      <c r="R30" s="471">
        <f t="shared" ref="R30:AB30" si="20">-$C30*R25</f>
        <v>0</v>
      </c>
      <c r="S30" s="471">
        <f t="shared" si="20"/>
        <v>0</v>
      </c>
      <c r="T30" s="471">
        <f t="shared" si="20"/>
        <v>0</v>
      </c>
      <c r="U30" s="471">
        <f t="shared" si="20"/>
        <v>0</v>
      </c>
      <c r="V30" s="471">
        <f t="shared" si="20"/>
        <v>0</v>
      </c>
      <c r="W30" s="471">
        <f t="shared" si="20"/>
        <v>0</v>
      </c>
      <c r="X30" s="471">
        <f t="shared" si="20"/>
        <v>0</v>
      </c>
      <c r="Y30" s="471">
        <f t="shared" si="20"/>
        <v>0</v>
      </c>
      <c r="Z30" s="471">
        <f t="shared" si="20"/>
        <v>0</v>
      </c>
      <c r="AA30" s="471">
        <f t="shared" si="20"/>
        <v>0</v>
      </c>
      <c r="AB30" s="471">
        <f t="shared" si="20"/>
        <v>0</v>
      </c>
    </row>
    <row r="31" spans="2:28">
      <c r="B31" s="452" t="s">
        <v>181</v>
      </c>
      <c r="C31" s="450"/>
      <c r="D31" s="452"/>
      <c r="E31" s="471">
        <f>-$C31*$E$25</f>
        <v>0</v>
      </c>
      <c r="F31" s="471">
        <f t="shared" ref="F31:T31" si="21">-$C31*$E$25</f>
        <v>0</v>
      </c>
      <c r="G31" s="471">
        <f t="shared" si="21"/>
        <v>0</v>
      </c>
      <c r="H31" s="471">
        <f t="shared" si="21"/>
        <v>0</v>
      </c>
      <c r="I31" s="471">
        <f t="shared" si="21"/>
        <v>0</v>
      </c>
      <c r="J31" s="471">
        <f t="shared" si="21"/>
        <v>0</v>
      </c>
      <c r="K31" s="471">
        <f t="shared" si="21"/>
        <v>0</v>
      </c>
      <c r="L31" s="471">
        <f t="shared" si="21"/>
        <v>0</v>
      </c>
      <c r="M31" s="471">
        <f t="shared" si="21"/>
        <v>0</v>
      </c>
      <c r="N31" s="471">
        <f t="shared" si="21"/>
        <v>0</v>
      </c>
      <c r="O31" s="471">
        <f t="shared" si="21"/>
        <v>0</v>
      </c>
      <c r="P31" s="471">
        <f t="shared" si="21"/>
        <v>0</v>
      </c>
      <c r="Q31" s="471">
        <f t="shared" si="21"/>
        <v>0</v>
      </c>
      <c r="R31" s="471">
        <f t="shared" si="21"/>
        <v>0</v>
      </c>
      <c r="S31" s="471">
        <f t="shared" si="21"/>
        <v>0</v>
      </c>
      <c r="T31" s="471">
        <f t="shared" si="21"/>
        <v>0</v>
      </c>
      <c r="U31" s="471">
        <f t="shared" ref="U31:AB31" si="22">-$C31*$E$25</f>
        <v>0</v>
      </c>
      <c r="V31" s="471">
        <f t="shared" si="22"/>
        <v>0</v>
      </c>
      <c r="W31" s="471">
        <f t="shared" si="22"/>
        <v>0</v>
      </c>
      <c r="X31" s="471">
        <f t="shared" si="22"/>
        <v>0</v>
      </c>
      <c r="Y31" s="471">
        <f t="shared" si="22"/>
        <v>0</v>
      </c>
      <c r="Z31" s="471">
        <f t="shared" si="22"/>
        <v>0</v>
      </c>
      <c r="AA31" s="471">
        <f t="shared" si="22"/>
        <v>0</v>
      </c>
      <c r="AB31" s="471">
        <f t="shared" si="22"/>
        <v>0</v>
      </c>
    </row>
    <row r="32" spans="2:28">
      <c r="B32" s="452"/>
      <c r="C32" s="452"/>
      <c r="D32" s="452"/>
      <c r="E32" s="452"/>
      <c r="F32" s="452"/>
      <c r="G32" s="452"/>
      <c r="H32" s="452"/>
      <c r="Q32" s="452"/>
      <c r="R32" s="452"/>
      <c r="S32" s="452"/>
      <c r="T32" s="452"/>
    </row>
    <row r="33" spans="2:28">
      <c r="B33" s="480" t="s">
        <v>646</v>
      </c>
      <c r="C33" s="452"/>
      <c r="D33" s="452"/>
      <c r="E33" s="452"/>
      <c r="F33" s="452"/>
      <c r="G33" s="452"/>
      <c r="H33" s="452"/>
      <c r="Q33" s="452"/>
      <c r="R33" s="452"/>
      <c r="S33" s="452"/>
      <c r="T33" s="452"/>
    </row>
    <row r="34" spans="2:28">
      <c r="B34" s="452" t="s">
        <v>647</v>
      </c>
      <c r="C34" s="450">
        <v>0</v>
      </c>
      <c r="D34" s="452"/>
      <c r="E34" s="471">
        <f>-$C34*E25</f>
        <v>0</v>
      </c>
      <c r="F34" s="471">
        <f t="shared" ref="F34:P34" si="23">-$C34*F25</f>
        <v>0</v>
      </c>
      <c r="G34" s="471">
        <f t="shared" si="23"/>
        <v>0</v>
      </c>
      <c r="H34" s="471">
        <f t="shared" si="23"/>
        <v>0</v>
      </c>
      <c r="I34" s="471">
        <f t="shared" si="23"/>
        <v>0</v>
      </c>
      <c r="J34" s="471">
        <f t="shared" si="23"/>
        <v>0</v>
      </c>
      <c r="K34" s="471">
        <f t="shared" si="23"/>
        <v>0</v>
      </c>
      <c r="L34" s="471">
        <f t="shared" si="23"/>
        <v>0</v>
      </c>
      <c r="M34" s="471">
        <f t="shared" si="23"/>
        <v>0</v>
      </c>
      <c r="N34" s="471">
        <f t="shared" si="23"/>
        <v>0</v>
      </c>
      <c r="O34" s="471">
        <f t="shared" si="23"/>
        <v>0</v>
      </c>
      <c r="P34" s="471">
        <f t="shared" si="23"/>
        <v>0</v>
      </c>
      <c r="Q34" s="471">
        <f>-$C34*Q25</f>
        <v>0</v>
      </c>
      <c r="R34" s="471">
        <f t="shared" ref="R34:AB34" si="24">-$C34*R25</f>
        <v>0</v>
      </c>
      <c r="S34" s="471">
        <f t="shared" si="24"/>
        <v>0</v>
      </c>
      <c r="T34" s="471">
        <f t="shared" si="24"/>
        <v>0</v>
      </c>
      <c r="U34" s="471">
        <f t="shared" si="24"/>
        <v>0</v>
      </c>
      <c r="V34" s="471">
        <f t="shared" si="24"/>
        <v>0</v>
      </c>
      <c r="W34" s="471">
        <f t="shared" si="24"/>
        <v>0</v>
      </c>
      <c r="X34" s="471">
        <f t="shared" si="24"/>
        <v>0</v>
      </c>
      <c r="Y34" s="471">
        <f t="shared" si="24"/>
        <v>0</v>
      </c>
      <c r="Z34" s="471">
        <f t="shared" si="24"/>
        <v>0</v>
      </c>
      <c r="AA34" s="471">
        <f t="shared" si="24"/>
        <v>0</v>
      </c>
      <c r="AB34" s="471">
        <f t="shared" si="24"/>
        <v>0</v>
      </c>
    </row>
    <row r="35" spans="2:28">
      <c r="B35" s="452" t="s">
        <v>648</v>
      </c>
      <c r="C35" s="450">
        <f>7.6+20.5</f>
        <v>28.1</v>
      </c>
      <c r="D35" s="452"/>
      <c r="E35" s="452"/>
      <c r="F35" s="471">
        <f>-$C35*F25</f>
        <v>-1405</v>
      </c>
      <c r="G35" s="471">
        <f t="shared" ref="G35:P35" si="25">-$C35*G25</f>
        <v>-1405</v>
      </c>
      <c r="H35" s="471">
        <f t="shared" si="25"/>
        <v>-1405</v>
      </c>
      <c r="I35" s="471">
        <f t="shared" si="25"/>
        <v>-1405</v>
      </c>
      <c r="J35" s="471">
        <f t="shared" si="25"/>
        <v>-1405</v>
      </c>
      <c r="K35" s="471">
        <f t="shared" si="25"/>
        <v>-1405</v>
      </c>
      <c r="L35" s="471">
        <f t="shared" si="25"/>
        <v>-1405</v>
      </c>
      <c r="M35" s="471">
        <f t="shared" si="25"/>
        <v>-1405</v>
      </c>
      <c r="N35" s="471">
        <f t="shared" si="25"/>
        <v>-1405</v>
      </c>
      <c r="O35" s="471">
        <f t="shared" si="25"/>
        <v>-1405</v>
      </c>
      <c r="P35" s="471">
        <f t="shared" si="25"/>
        <v>-1405</v>
      </c>
      <c r="Q35" s="471">
        <f>-$C35*Q25</f>
        <v>-1405</v>
      </c>
      <c r="R35" s="471">
        <f>-$C35*R25</f>
        <v>-1405</v>
      </c>
      <c r="S35" s="471">
        <f t="shared" ref="S35:AB35" si="26">-$C35*S25</f>
        <v>-1405</v>
      </c>
      <c r="T35" s="471">
        <f t="shared" si="26"/>
        <v>-1405</v>
      </c>
      <c r="U35" s="471">
        <f t="shared" si="26"/>
        <v>-1405</v>
      </c>
      <c r="V35" s="471">
        <f t="shared" si="26"/>
        <v>-1405</v>
      </c>
      <c r="W35" s="471">
        <f t="shared" si="26"/>
        <v>-1405</v>
      </c>
      <c r="X35" s="471">
        <f t="shared" si="26"/>
        <v>-1405</v>
      </c>
      <c r="Y35" s="471">
        <f t="shared" si="26"/>
        <v>-1405</v>
      </c>
      <c r="Z35" s="471">
        <f t="shared" si="26"/>
        <v>-1405</v>
      </c>
      <c r="AA35" s="471">
        <f t="shared" si="26"/>
        <v>-1405</v>
      </c>
      <c r="AB35" s="471">
        <f t="shared" si="26"/>
        <v>-1405</v>
      </c>
    </row>
    <row r="36" spans="2:28">
      <c r="B36" s="452" t="s">
        <v>649</v>
      </c>
      <c r="C36" s="450">
        <f>40.5+25.4</f>
        <v>65.900000000000006</v>
      </c>
      <c r="D36" s="452"/>
      <c r="E36" s="452"/>
      <c r="F36" s="452"/>
      <c r="G36" s="471">
        <f>-$C36*G25</f>
        <v>-3295.0000000000005</v>
      </c>
      <c r="H36" s="471">
        <f t="shared" ref="H36:P36" si="27">-$C36*H25</f>
        <v>-3295.0000000000005</v>
      </c>
      <c r="I36" s="471">
        <f t="shared" si="27"/>
        <v>-3295.0000000000005</v>
      </c>
      <c r="J36" s="471">
        <f t="shared" si="27"/>
        <v>-3295.0000000000005</v>
      </c>
      <c r="K36" s="471">
        <f t="shared" si="27"/>
        <v>-3295.0000000000005</v>
      </c>
      <c r="L36" s="471">
        <f t="shared" si="27"/>
        <v>-3295.0000000000005</v>
      </c>
      <c r="M36" s="471">
        <f t="shared" si="27"/>
        <v>-3295.0000000000005</v>
      </c>
      <c r="N36" s="471">
        <f t="shared" si="27"/>
        <v>-3295.0000000000005</v>
      </c>
      <c r="O36" s="471">
        <f t="shared" si="27"/>
        <v>-3295.0000000000005</v>
      </c>
      <c r="P36" s="471">
        <f t="shared" si="27"/>
        <v>-3295.0000000000005</v>
      </c>
      <c r="Q36" s="471">
        <f>-$C36*Q25</f>
        <v>-3295.0000000000005</v>
      </c>
      <c r="R36" s="471">
        <f>-$C36*R25</f>
        <v>-3295.0000000000005</v>
      </c>
      <c r="S36" s="471">
        <f>-$C36*S25</f>
        <v>-3295.0000000000005</v>
      </c>
      <c r="T36" s="471">
        <f t="shared" ref="T36:AB36" si="28">-$C36*T25</f>
        <v>-3295.0000000000005</v>
      </c>
      <c r="U36" s="471">
        <f t="shared" si="28"/>
        <v>-3295.0000000000005</v>
      </c>
      <c r="V36" s="471">
        <f t="shared" si="28"/>
        <v>-3295.0000000000005</v>
      </c>
      <c r="W36" s="471">
        <f t="shared" si="28"/>
        <v>-3295.0000000000005</v>
      </c>
      <c r="X36" s="471">
        <f t="shared" si="28"/>
        <v>-3295.0000000000005</v>
      </c>
      <c r="Y36" s="471">
        <f t="shared" si="28"/>
        <v>-3295.0000000000005</v>
      </c>
      <c r="Z36" s="471">
        <f t="shared" si="28"/>
        <v>-3295.0000000000005</v>
      </c>
      <c r="AA36" s="471">
        <f t="shared" si="28"/>
        <v>-3295.0000000000005</v>
      </c>
      <c r="AB36" s="471">
        <f t="shared" si="28"/>
        <v>-3295.0000000000005</v>
      </c>
    </row>
    <row r="37" spans="2:28">
      <c r="B37" s="452" t="s">
        <v>650</v>
      </c>
      <c r="C37" s="450">
        <v>0</v>
      </c>
      <c r="D37" s="452"/>
      <c r="E37" s="452"/>
      <c r="F37" s="452"/>
      <c r="G37" s="452"/>
      <c r="H37" s="471">
        <f>-$C37*H25</f>
        <v>0</v>
      </c>
      <c r="I37" s="471">
        <f t="shared" ref="I37:P37" si="29">-$C37*I25</f>
        <v>0</v>
      </c>
      <c r="J37" s="471">
        <f t="shared" si="29"/>
        <v>0</v>
      </c>
      <c r="K37" s="471">
        <f t="shared" si="29"/>
        <v>0</v>
      </c>
      <c r="L37" s="471">
        <f t="shared" si="29"/>
        <v>0</v>
      </c>
      <c r="M37" s="471">
        <f t="shared" si="29"/>
        <v>0</v>
      </c>
      <c r="N37" s="471">
        <f t="shared" si="29"/>
        <v>0</v>
      </c>
      <c r="O37" s="471">
        <f t="shared" si="29"/>
        <v>0</v>
      </c>
      <c r="P37" s="471">
        <f t="shared" si="29"/>
        <v>0</v>
      </c>
      <c r="Q37" s="471">
        <f>-$C37*Q25</f>
        <v>0</v>
      </c>
      <c r="R37" s="471">
        <f>-$C37*R25</f>
        <v>0</v>
      </c>
      <c r="S37" s="471">
        <f>-$C37*S25</f>
        <v>0</v>
      </c>
      <c r="T37" s="471">
        <f>-$C37*T25</f>
        <v>0</v>
      </c>
      <c r="U37" s="471">
        <f t="shared" ref="U37:AB37" si="30">-$C37*U25</f>
        <v>0</v>
      </c>
      <c r="V37" s="471">
        <f t="shared" si="30"/>
        <v>0</v>
      </c>
      <c r="W37" s="471">
        <f t="shared" si="30"/>
        <v>0</v>
      </c>
      <c r="X37" s="471">
        <f t="shared" si="30"/>
        <v>0</v>
      </c>
      <c r="Y37" s="471">
        <f t="shared" si="30"/>
        <v>0</v>
      </c>
      <c r="Z37" s="471">
        <f t="shared" si="30"/>
        <v>0</v>
      </c>
      <c r="AA37" s="471">
        <f t="shared" si="30"/>
        <v>0</v>
      </c>
      <c r="AB37" s="471">
        <f t="shared" si="30"/>
        <v>0</v>
      </c>
    </row>
    <row r="38" spans="2:28">
      <c r="C38" s="452"/>
      <c r="D38" s="452"/>
      <c r="E38" s="452"/>
      <c r="F38" s="452"/>
      <c r="G38" s="452"/>
      <c r="H38" s="452"/>
      <c r="Q38" s="452"/>
      <c r="R38" s="452"/>
      <c r="S38" s="452"/>
      <c r="T38" s="452"/>
    </row>
    <row r="39" spans="2:28">
      <c r="B39" s="452"/>
      <c r="C39" s="452"/>
      <c r="D39" s="452"/>
      <c r="E39" s="452"/>
      <c r="F39" s="452"/>
      <c r="G39" s="452"/>
      <c r="H39" s="452"/>
      <c r="Q39" s="452"/>
      <c r="R39" s="452"/>
      <c r="S39" s="452"/>
      <c r="T39" s="452"/>
    </row>
    <row r="40" spans="2:28">
      <c r="B40" s="480" t="s">
        <v>651</v>
      </c>
      <c r="C40" s="452"/>
      <c r="D40" s="452"/>
      <c r="E40" s="452"/>
      <c r="F40" s="452"/>
      <c r="G40" s="452"/>
      <c r="H40" s="452"/>
      <c r="Q40" s="452"/>
      <c r="R40" s="452"/>
      <c r="S40" s="452"/>
      <c r="T40" s="452"/>
    </row>
    <row r="41" spans="2:28">
      <c r="B41" s="452" t="s">
        <v>652</v>
      </c>
      <c r="C41" s="450">
        <v>3000</v>
      </c>
      <c r="D41" s="452"/>
      <c r="E41" s="471">
        <f>-$C41</f>
        <v>-3000</v>
      </c>
      <c r="F41" s="471">
        <f t="shared" ref="F41:AB45" si="31">-$C41</f>
        <v>-3000</v>
      </c>
      <c r="G41" s="471">
        <f t="shared" si="31"/>
        <v>-3000</v>
      </c>
      <c r="H41" s="471">
        <f t="shared" si="31"/>
        <v>-3000</v>
      </c>
      <c r="I41" s="471">
        <f t="shared" si="31"/>
        <v>-3000</v>
      </c>
      <c r="J41" s="471">
        <f t="shared" si="31"/>
        <v>-3000</v>
      </c>
      <c r="K41" s="471">
        <f t="shared" si="31"/>
        <v>-3000</v>
      </c>
      <c r="L41" s="471">
        <f t="shared" si="31"/>
        <v>-3000</v>
      </c>
      <c r="M41" s="471">
        <f t="shared" si="31"/>
        <v>-3000</v>
      </c>
      <c r="N41" s="471">
        <f t="shared" si="31"/>
        <v>-3000</v>
      </c>
      <c r="O41" s="471">
        <f t="shared" si="31"/>
        <v>-3000</v>
      </c>
      <c r="P41" s="471">
        <f t="shared" si="31"/>
        <v>-3000</v>
      </c>
      <c r="Q41" s="471">
        <f>-$C41</f>
        <v>-3000</v>
      </c>
      <c r="R41" s="471">
        <f t="shared" si="31"/>
        <v>-3000</v>
      </c>
      <c r="S41" s="471">
        <f t="shared" si="31"/>
        <v>-3000</v>
      </c>
      <c r="T41" s="471">
        <f t="shared" si="31"/>
        <v>-3000</v>
      </c>
      <c r="U41" s="471">
        <f t="shared" si="31"/>
        <v>-3000</v>
      </c>
      <c r="V41" s="471">
        <f t="shared" si="31"/>
        <v>-3000</v>
      </c>
      <c r="W41" s="471">
        <f t="shared" si="31"/>
        <v>-3000</v>
      </c>
      <c r="X41" s="471">
        <f t="shared" si="31"/>
        <v>-3000</v>
      </c>
      <c r="Y41" s="471">
        <f t="shared" si="31"/>
        <v>-3000</v>
      </c>
      <c r="Z41" s="471">
        <f t="shared" si="31"/>
        <v>-3000</v>
      </c>
      <c r="AA41" s="471">
        <f t="shared" si="31"/>
        <v>-3000</v>
      </c>
      <c r="AB41" s="471">
        <f t="shared" si="31"/>
        <v>-3000</v>
      </c>
    </row>
    <row r="42" spans="2:28">
      <c r="B42" s="452" t="s">
        <v>653</v>
      </c>
      <c r="C42" s="450">
        <v>1000</v>
      </c>
      <c r="D42" s="452"/>
      <c r="E42" s="471">
        <v>0</v>
      </c>
      <c r="F42" s="471">
        <f t="shared" si="31"/>
        <v>-1000</v>
      </c>
      <c r="G42" s="471">
        <f t="shared" si="31"/>
        <v>-1000</v>
      </c>
      <c r="H42" s="471">
        <f t="shared" si="31"/>
        <v>-1000</v>
      </c>
      <c r="I42" s="471">
        <f t="shared" si="31"/>
        <v>-1000</v>
      </c>
      <c r="J42" s="471">
        <f t="shared" si="31"/>
        <v>-1000</v>
      </c>
      <c r="K42" s="471">
        <f t="shared" si="31"/>
        <v>-1000</v>
      </c>
      <c r="L42" s="471">
        <f t="shared" si="31"/>
        <v>-1000</v>
      </c>
      <c r="M42" s="471">
        <f t="shared" si="31"/>
        <v>-1000</v>
      </c>
      <c r="N42" s="471">
        <f t="shared" si="31"/>
        <v>-1000</v>
      </c>
      <c r="O42" s="471">
        <f t="shared" si="31"/>
        <v>-1000</v>
      </c>
      <c r="P42" s="471">
        <f t="shared" si="31"/>
        <v>-1000</v>
      </c>
      <c r="Q42" s="471">
        <f t="shared" si="31"/>
        <v>-1000</v>
      </c>
      <c r="R42" s="471">
        <f t="shared" si="31"/>
        <v>-1000</v>
      </c>
      <c r="S42" s="471">
        <f t="shared" si="31"/>
        <v>-1000</v>
      </c>
      <c r="T42" s="471">
        <f t="shared" si="31"/>
        <v>-1000</v>
      </c>
      <c r="U42" s="471">
        <f t="shared" si="31"/>
        <v>-1000</v>
      </c>
      <c r="V42" s="471">
        <f t="shared" si="31"/>
        <v>-1000</v>
      </c>
      <c r="W42" s="471">
        <f t="shared" si="31"/>
        <v>-1000</v>
      </c>
      <c r="X42" s="471">
        <f t="shared" si="31"/>
        <v>-1000</v>
      </c>
      <c r="Y42" s="471">
        <f t="shared" si="31"/>
        <v>-1000</v>
      </c>
      <c r="Z42" s="471">
        <f t="shared" si="31"/>
        <v>-1000</v>
      </c>
      <c r="AA42" s="471">
        <f t="shared" si="31"/>
        <v>-1000</v>
      </c>
      <c r="AB42" s="471">
        <f t="shared" si="31"/>
        <v>-1000</v>
      </c>
    </row>
    <row r="43" spans="2:28">
      <c r="B43" s="452"/>
      <c r="C43" s="450">
        <v>0</v>
      </c>
      <c r="D43" s="452"/>
      <c r="E43" s="471">
        <f t="shared" ref="E43:P45" si="32">-$C43</f>
        <v>0</v>
      </c>
      <c r="F43" s="471">
        <f t="shared" si="32"/>
        <v>0</v>
      </c>
      <c r="G43" s="471">
        <f t="shared" si="32"/>
        <v>0</v>
      </c>
      <c r="H43" s="471">
        <f t="shared" si="32"/>
        <v>0</v>
      </c>
      <c r="I43" s="471">
        <f t="shared" si="32"/>
        <v>0</v>
      </c>
      <c r="J43" s="471">
        <f t="shared" si="32"/>
        <v>0</v>
      </c>
      <c r="K43" s="471">
        <f t="shared" si="32"/>
        <v>0</v>
      </c>
      <c r="L43" s="471">
        <f t="shared" si="32"/>
        <v>0</v>
      </c>
      <c r="M43" s="471">
        <f t="shared" si="32"/>
        <v>0</v>
      </c>
      <c r="N43" s="471">
        <f t="shared" si="32"/>
        <v>0</v>
      </c>
      <c r="O43" s="471">
        <f t="shared" si="32"/>
        <v>0</v>
      </c>
      <c r="P43" s="471">
        <f t="shared" si="32"/>
        <v>0</v>
      </c>
      <c r="Q43" s="471">
        <f t="shared" si="31"/>
        <v>0</v>
      </c>
      <c r="R43" s="471">
        <f t="shared" si="31"/>
        <v>0</v>
      </c>
      <c r="S43" s="471">
        <f t="shared" si="31"/>
        <v>0</v>
      </c>
      <c r="T43" s="471">
        <f t="shared" si="31"/>
        <v>0</v>
      </c>
      <c r="U43" s="471">
        <f t="shared" si="31"/>
        <v>0</v>
      </c>
      <c r="V43" s="471">
        <f t="shared" si="31"/>
        <v>0</v>
      </c>
      <c r="W43" s="471">
        <f t="shared" si="31"/>
        <v>0</v>
      </c>
      <c r="X43" s="471">
        <f t="shared" si="31"/>
        <v>0</v>
      </c>
      <c r="Y43" s="471">
        <f t="shared" si="31"/>
        <v>0</v>
      </c>
      <c r="Z43" s="471">
        <f t="shared" si="31"/>
        <v>0</v>
      </c>
      <c r="AA43" s="471">
        <f t="shared" si="31"/>
        <v>0</v>
      </c>
      <c r="AB43" s="471">
        <f t="shared" si="31"/>
        <v>0</v>
      </c>
    </row>
    <row r="44" spans="2:28">
      <c r="B44" s="452"/>
      <c r="C44" s="450">
        <v>0</v>
      </c>
      <c r="D44" s="452"/>
      <c r="E44" s="471">
        <f t="shared" si="32"/>
        <v>0</v>
      </c>
      <c r="F44" s="471">
        <f t="shared" si="32"/>
        <v>0</v>
      </c>
      <c r="G44" s="471">
        <f t="shared" si="32"/>
        <v>0</v>
      </c>
      <c r="H44" s="471">
        <f t="shared" si="32"/>
        <v>0</v>
      </c>
      <c r="I44" s="471">
        <f t="shared" si="32"/>
        <v>0</v>
      </c>
      <c r="J44" s="471">
        <f t="shared" si="32"/>
        <v>0</v>
      </c>
      <c r="K44" s="471">
        <f t="shared" si="32"/>
        <v>0</v>
      </c>
      <c r="L44" s="471">
        <f t="shared" si="32"/>
        <v>0</v>
      </c>
      <c r="M44" s="471">
        <f t="shared" si="32"/>
        <v>0</v>
      </c>
      <c r="N44" s="471">
        <f t="shared" si="32"/>
        <v>0</v>
      </c>
      <c r="O44" s="471">
        <f t="shared" si="32"/>
        <v>0</v>
      </c>
      <c r="P44" s="471">
        <f t="shared" si="32"/>
        <v>0</v>
      </c>
      <c r="Q44" s="471">
        <f t="shared" si="31"/>
        <v>0</v>
      </c>
      <c r="R44" s="471">
        <f t="shared" si="31"/>
        <v>0</v>
      </c>
      <c r="S44" s="471">
        <f t="shared" si="31"/>
        <v>0</v>
      </c>
      <c r="T44" s="471">
        <f t="shared" si="31"/>
        <v>0</v>
      </c>
      <c r="U44" s="471">
        <f t="shared" si="31"/>
        <v>0</v>
      </c>
      <c r="V44" s="471">
        <f t="shared" si="31"/>
        <v>0</v>
      </c>
      <c r="W44" s="471">
        <f t="shared" si="31"/>
        <v>0</v>
      </c>
      <c r="X44" s="471">
        <f t="shared" si="31"/>
        <v>0</v>
      </c>
      <c r="Y44" s="471">
        <f t="shared" si="31"/>
        <v>0</v>
      </c>
      <c r="Z44" s="471">
        <f t="shared" si="31"/>
        <v>0</v>
      </c>
      <c r="AA44" s="471">
        <f t="shared" si="31"/>
        <v>0</v>
      </c>
      <c r="AB44" s="471">
        <f t="shared" si="31"/>
        <v>0</v>
      </c>
    </row>
    <row r="45" spans="2:28">
      <c r="B45" s="452"/>
      <c r="C45" s="450">
        <v>0</v>
      </c>
      <c r="D45" s="452"/>
      <c r="E45" s="471">
        <f t="shared" si="32"/>
        <v>0</v>
      </c>
      <c r="F45" s="471">
        <f t="shared" si="32"/>
        <v>0</v>
      </c>
      <c r="G45" s="471">
        <f t="shared" si="32"/>
        <v>0</v>
      </c>
      <c r="H45" s="471">
        <f t="shared" si="32"/>
        <v>0</v>
      </c>
      <c r="I45" s="471">
        <f t="shared" si="32"/>
        <v>0</v>
      </c>
      <c r="J45" s="471">
        <f t="shared" si="32"/>
        <v>0</v>
      </c>
      <c r="K45" s="471">
        <f t="shared" si="32"/>
        <v>0</v>
      </c>
      <c r="L45" s="471">
        <f t="shared" si="32"/>
        <v>0</v>
      </c>
      <c r="M45" s="471">
        <f t="shared" si="32"/>
        <v>0</v>
      </c>
      <c r="N45" s="471">
        <f t="shared" si="32"/>
        <v>0</v>
      </c>
      <c r="O45" s="471">
        <f t="shared" si="32"/>
        <v>0</v>
      </c>
      <c r="P45" s="471">
        <f t="shared" si="32"/>
        <v>0</v>
      </c>
      <c r="Q45" s="471">
        <f t="shared" si="31"/>
        <v>0</v>
      </c>
      <c r="R45" s="471">
        <f t="shared" si="31"/>
        <v>0</v>
      </c>
      <c r="S45" s="471">
        <f t="shared" si="31"/>
        <v>0</v>
      </c>
      <c r="T45" s="471">
        <f t="shared" si="31"/>
        <v>0</v>
      </c>
      <c r="U45" s="471">
        <f t="shared" si="31"/>
        <v>0</v>
      </c>
      <c r="V45" s="471">
        <f t="shared" si="31"/>
        <v>0</v>
      </c>
      <c r="W45" s="471">
        <f t="shared" si="31"/>
        <v>0</v>
      </c>
      <c r="X45" s="471">
        <f t="shared" si="31"/>
        <v>0</v>
      </c>
      <c r="Y45" s="471">
        <f t="shared" si="31"/>
        <v>0</v>
      </c>
      <c r="Z45" s="471">
        <f t="shared" si="31"/>
        <v>0</v>
      </c>
      <c r="AA45" s="471">
        <f t="shared" si="31"/>
        <v>0</v>
      </c>
      <c r="AB45" s="471">
        <f t="shared" si="31"/>
        <v>0</v>
      </c>
    </row>
    <row r="46" spans="2:28">
      <c r="B46" s="452"/>
      <c r="C46" s="452"/>
      <c r="D46" s="452"/>
      <c r="E46" s="452"/>
      <c r="F46" s="452"/>
      <c r="G46" s="452"/>
      <c r="H46" s="452"/>
      <c r="Q46" s="452"/>
      <c r="R46" s="452"/>
      <c r="S46" s="452"/>
      <c r="T46" s="452"/>
    </row>
    <row r="47" spans="2:28">
      <c r="B47" s="480" t="s">
        <v>654</v>
      </c>
      <c r="C47" s="481">
        <v>0</v>
      </c>
      <c r="D47" s="452"/>
      <c r="E47" s="471">
        <f>-$C$47</f>
        <v>0</v>
      </c>
      <c r="F47" s="471">
        <f t="shared" ref="F47:AB47" si="33">-$C$47</f>
        <v>0</v>
      </c>
      <c r="G47" s="471">
        <f t="shared" si="33"/>
        <v>0</v>
      </c>
      <c r="H47" s="471">
        <f t="shared" si="33"/>
        <v>0</v>
      </c>
      <c r="I47" s="471">
        <f t="shared" si="33"/>
        <v>0</v>
      </c>
      <c r="J47" s="471">
        <f t="shared" si="33"/>
        <v>0</v>
      </c>
      <c r="K47" s="471">
        <f t="shared" si="33"/>
        <v>0</v>
      </c>
      <c r="L47" s="471">
        <f t="shared" si="33"/>
        <v>0</v>
      </c>
      <c r="M47" s="471">
        <f t="shared" si="33"/>
        <v>0</v>
      </c>
      <c r="N47" s="471">
        <f t="shared" si="33"/>
        <v>0</v>
      </c>
      <c r="O47" s="471">
        <f t="shared" si="33"/>
        <v>0</v>
      </c>
      <c r="P47" s="471">
        <f t="shared" si="33"/>
        <v>0</v>
      </c>
      <c r="Q47" s="471">
        <f>-$C$47</f>
        <v>0</v>
      </c>
      <c r="R47" s="471">
        <f t="shared" si="33"/>
        <v>0</v>
      </c>
      <c r="S47" s="471">
        <f t="shared" si="33"/>
        <v>0</v>
      </c>
      <c r="T47" s="471">
        <f t="shared" si="33"/>
        <v>0</v>
      </c>
      <c r="U47" s="471">
        <f t="shared" si="33"/>
        <v>0</v>
      </c>
      <c r="V47" s="471">
        <f t="shared" si="33"/>
        <v>0</v>
      </c>
      <c r="W47" s="471">
        <f t="shared" si="33"/>
        <v>0</v>
      </c>
      <c r="X47" s="471">
        <f t="shared" si="33"/>
        <v>0</v>
      </c>
      <c r="Y47" s="471">
        <f t="shared" si="33"/>
        <v>0</v>
      </c>
      <c r="Z47" s="471">
        <f t="shared" si="33"/>
        <v>0</v>
      </c>
      <c r="AA47" s="471">
        <f t="shared" si="33"/>
        <v>0</v>
      </c>
      <c r="AB47" s="471">
        <f t="shared" si="33"/>
        <v>0</v>
      </c>
    </row>
    <row r="48" spans="2:28">
      <c r="B48" s="452" t="s">
        <v>655</v>
      </c>
      <c r="C48" s="450">
        <v>0</v>
      </c>
      <c r="D48" s="452"/>
      <c r="E48" s="452"/>
      <c r="F48" s="452"/>
      <c r="G48" s="452"/>
      <c r="H48" s="452"/>
      <c r="Q48" s="452"/>
      <c r="R48" s="452"/>
      <c r="S48" s="452"/>
      <c r="T48" s="452"/>
    </row>
    <row r="49" spans="1:28">
      <c r="B49" s="452" t="s">
        <v>656</v>
      </c>
      <c r="C49" s="450">
        <v>0</v>
      </c>
      <c r="D49" s="452"/>
      <c r="E49" s="452"/>
      <c r="F49" s="452"/>
      <c r="G49" s="452"/>
      <c r="H49" s="452"/>
      <c r="Q49" s="452"/>
      <c r="R49" s="452"/>
      <c r="S49" s="452"/>
      <c r="T49" s="452"/>
    </row>
    <row r="50" spans="1:28">
      <c r="B50" s="452"/>
      <c r="C50" s="452"/>
      <c r="D50" s="452"/>
      <c r="E50" s="452"/>
      <c r="F50" s="452"/>
      <c r="G50" s="452"/>
      <c r="H50" s="452"/>
      <c r="Q50" s="452"/>
      <c r="R50" s="452"/>
      <c r="S50" s="452"/>
      <c r="T50" s="452"/>
    </row>
    <row r="51" spans="1:28">
      <c r="B51" s="452" t="s">
        <v>176</v>
      </c>
      <c r="C51" s="452"/>
      <c r="D51" s="452"/>
      <c r="E51" s="482">
        <f>SUM(E23,E28:E31,E34:E38,E41:E45,E47:E49)</f>
        <v>-3000</v>
      </c>
      <c r="F51" s="483">
        <f>SUM(F28:F50)+F23</f>
        <v>-905</v>
      </c>
      <c r="G51" s="483">
        <f t="shared" ref="G51:AB51" si="34">SUM(G28:G50)+G23</f>
        <v>2550</v>
      </c>
      <c r="H51" s="483">
        <f t="shared" si="34"/>
        <v>2550</v>
      </c>
      <c r="I51" s="483">
        <f t="shared" si="34"/>
        <v>2550</v>
      </c>
      <c r="J51" s="483">
        <f t="shared" si="34"/>
        <v>2550</v>
      </c>
      <c r="K51" s="483">
        <f t="shared" si="34"/>
        <v>2550</v>
      </c>
      <c r="L51" s="483">
        <f t="shared" si="34"/>
        <v>2550</v>
      </c>
      <c r="M51" s="483">
        <f t="shared" si="34"/>
        <v>2550</v>
      </c>
      <c r="N51" s="483">
        <f t="shared" si="34"/>
        <v>2550</v>
      </c>
      <c r="O51" s="483">
        <f t="shared" si="34"/>
        <v>2550</v>
      </c>
      <c r="P51" s="483">
        <f t="shared" si="34"/>
        <v>2550</v>
      </c>
      <c r="Q51" s="483">
        <f t="shared" si="34"/>
        <v>97491300</v>
      </c>
      <c r="R51" s="483">
        <f t="shared" si="34"/>
        <v>97491300</v>
      </c>
      <c r="S51" s="483">
        <f t="shared" si="34"/>
        <v>97491300</v>
      </c>
      <c r="T51" s="483">
        <f t="shared" si="34"/>
        <v>97491300</v>
      </c>
      <c r="U51" s="483">
        <f t="shared" si="34"/>
        <v>97491300</v>
      </c>
      <c r="V51" s="483">
        <f t="shared" si="34"/>
        <v>97491300</v>
      </c>
      <c r="W51" s="483">
        <f t="shared" si="34"/>
        <v>97491300</v>
      </c>
      <c r="X51" s="483">
        <f t="shared" si="34"/>
        <v>97491300</v>
      </c>
      <c r="Y51" s="483">
        <f t="shared" si="34"/>
        <v>97491300</v>
      </c>
      <c r="Z51" s="483">
        <f t="shared" si="34"/>
        <v>97491300</v>
      </c>
      <c r="AA51" s="483">
        <f t="shared" si="34"/>
        <v>97491300</v>
      </c>
      <c r="AB51" s="483">
        <f t="shared" si="34"/>
        <v>97491300</v>
      </c>
    </row>
    <row r="52" spans="1:28">
      <c r="B52" s="484" t="s">
        <v>657</v>
      </c>
      <c r="C52" s="485"/>
      <c r="D52" s="486"/>
      <c r="E52" s="487">
        <f>E51</f>
        <v>-3000</v>
      </c>
      <c r="F52" s="488">
        <f>E52+F51</f>
        <v>-3905</v>
      </c>
      <c r="G52" s="488">
        <f t="shared" ref="G52:O52" si="35">F52+G51</f>
        <v>-1355</v>
      </c>
      <c r="H52" s="488">
        <f t="shared" si="35"/>
        <v>1195</v>
      </c>
      <c r="I52" s="488">
        <f t="shared" si="35"/>
        <v>3745</v>
      </c>
      <c r="J52" s="488">
        <f t="shared" si="35"/>
        <v>6295</v>
      </c>
      <c r="K52" s="488">
        <f t="shared" si="35"/>
        <v>8845</v>
      </c>
      <c r="L52" s="488">
        <f t="shared" si="35"/>
        <v>11395</v>
      </c>
      <c r="M52" s="488">
        <f t="shared" si="35"/>
        <v>13945</v>
      </c>
      <c r="N52" s="488">
        <f t="shared" si="35"/>
        <v>16495</v>
      </c>
      <c r="O52" s="488">
        <f t="shared" si="35"/>
        <v>19045</v>
      </c>
      <c r="P52" s="488">
        <f>O52+P51</f>
        <v>21595</v>
      </c>
      <c r="Q52" s="489">
        <f>P52+Q51</f>
        <v>97512895</v>
      </c>
      <c r="R52" s="488">
        <f>Q52+R51</f>
        <v>195004195</v>
      </c>
      <c r="S52" s="488">
        <f t="shared" ref="S52:AB52" si="36">R52+S51</f>
        <v>292495495</v>
      </c>
      <c r="T52" s="488">
        <f t="shared" si="36"/>
        <v>389986795</v>
      </c>
      <c r="U52" s="488">
        <f t="shared" si="36"/>
        <v>487478095</v>
      </c>
      <c r="V52" s="488">
        <f t="shared" si="36"/>
        <v>584969395</v>
      </c>
      <c r="W52" s="488">
        <f t="shared" si="36"/>
        <v>682460695</v>
      </c>
      <c r="X52" s="488">
        <f t="shared" si="36"/>
        <v>779951995</v>
      </c>
      <c r="Y52" s="488">
        <f t="shared" si="36"/>
        <v>877443295</v>
      </c>
      <c r="Z52" s="488">
        <f t="shared" si="36"/>
        <v>974934595</v>
      </c>
      <c r="AA52" s="488">
        <f t="shared" si="36"/>
        <v>1072425895</v>
      </c>
      <c r="AB52" s="488">
        <f t="shared" si="36"/>
        <v>1169917195</v>
      </c>
    </row>
    <row r="56" spans="1:28">
      <c r="A56" s="384" t="s">
        <v>658</v>
      </c>
      <c r="E56" s="469"/>
      <c r="F56" s="490"/>
    </row>
    <row r="57" spans="1:28">
      <c r="E57" s="469"/>
      <c r="F57" s="490"/>
    </row>
    <row r="58" spans="1:28" ht="14.25">
      <c r="E58" s="491" t="s">
        <v>659</v>
      </c>
      <c r="F58" s="492">
        <f>MIN(E52:AB52)*-1</f>
        <v>3905</v>
      </c>
      <c r="G58" s="384" t="s">
        <v>660</v>
      </c>
    </row>
    <row r="59" spans="1:28">
      <c r="E59" s="469"/>
      <c r="F59" s="490"/>
    </row>
    <row r="60" spans="1:28" ht="15" customHeight="1">
      <c r="F60" s="493"/>
      <c r="G60" s="384" t="s">
        <v>661</v>
      </c>
    </row>
    <row r="61" spans="1:28" ht="15" customHeight="1">
      <c r="G61" s="384" t="s">
        <v>662</v>
      </c>
    </row>
    <row r="62" spans="1:28" ht="15" customHeight="1">
      <c r="G62" s="384" t="s">
        <v>663</v>
      </c>
    </row>
    <row r="65" spans="2:11" ht="15" customHeight="1">
      <c r="B65" s="384" t="s">
        <v>664</v>
      </c>
      <c r="F65" s="1728" t="s">
        <v>665</v>
      </c>
      <c r="G65" s="1728"/>
      <c r="H65" s="1728"/>
      <c r="I65" s="1728"/>
      <c r="J65" s="1728"/>
    </row>
    <row r="66" spans="2:11" ht="15" customHeight="1" thickBot="1">
      <c r="B66" s="494" t="s">
        <v>666</v>
      </c>
      <c r="C66" s="494"/>
      <c r="D66" s="494"/>
      <c r="E66" s="495"/>
      <c r="F66" s="449" t="s">
        <v>667</v>
      </c>
      <c r="G66" s="494"/>
      <c r="H66" s="494"/>
      <c r="I66" s="494"/>
      <c r="J66" s="494"/>
    </row>
    <row r="67" spans="2:11" ht="15" customHeight="1" thickTop="1" thickBot="1">
      <c r="B67" s="494" t="s">
        <v>668</v>
      </c>
      <c r="C67" s="494"/>
      <c r="D67" s="496">
        <v>120000</v>
      </c>
      <c r="F67" s="494" t="s">
        <v>427</v>
      </c>
      <c r="G67" s="494" t="s">
        <v>177</v>
      </c>
      <c r="H67" s="494" t="s">
        <v>669</v>
      </c>
      <c r="I67" s="494" t="s">
        <v>670</v>
      </c>
      <c r="J67" s="494" t="s">
        <v>671</v>
      </c>
    </row>
    <row r="68" spans="2:11" ht="15" customHeight="1" thickTop="1" thickBot="1">
      <c r="B68" s="494" t="s">
        <v>672</v>
      </c>
      <c r="C68" s="494"/>
      <c r="D68" s="496">
        <v>100000</v>
      </c>
      <c r="F68" s="494">
        <v>0</v>
      </c>
      <c r="G68" s="496">
        <v>0</v>
      </c>
      <c r="H68" s="497">
        <v>0</v>
      </c>
      <c r="I68" s="498">
        <v>0</v>
      </c>
      <c r="J68" s="499">
        <f>F58</f>
        <v>3905</v>
      </c>
      <c r="K68" s="419" t="s">
        <v>673</v>
      </c>
    </row>
    <row r="69" spans="2:11" ht="15" customHeight="1" thickTop="1" thickBot="1">
      <c r="B69" s="494" t="s">
        <v>674</v>
      </c>
      <c r="C69" s="494"/>
      <c r="D69" s="496">
        <v>80000</v>
      </c>
      <c r="F69" s="494">
        <v>1</v>
      </c>
      <c r="G69" s="496">
        <v>600</v>
      </c>
      <c r="H69" s="497">
        <v>0</v>
      </c>
      <c r="I69" s="498">
        <f>J68</f>
        <v>3905</v>
      </c>
      <c r="J69" s="500">
        <f>I69*H70</f>
        <v>0</v>
      </c>
      <c r="K69" s="384" t="s">
        <v>675</v>
      </c>
    </row>
    <row r="70" spans="2:11" ht="15" customHeight="1" thickTop="1" thickBot="1">
      <c r="B70" s="494" t="s">
        <v>676</v>
      </c>
      <c r="C70" s="494"/>
      <c r="D70" s="496">
        <v>630000</v>
      </c>
      <c r="F70" s="494">
        <v>2</v>
      </c>
      <c r="G70" s="496">
        <v>600</v>
      </c>
      <c r="H70" s="497">
        <f>G70/G69-1</f>
        <v>0</v>
      </c>
      <c r="I70" s="498">
        <f>I69+J69</f>
        <v>3905</v>
      </c>
      <c r="J70" s="500">
        <f>I70*H71</f>
        <v>-214.7750000000002</v>
      </c>
      <c r="K70" s="384" t="s">
        <v>838</v>
      </c>
    </row>
    <row r="71" spans="2:11" ht="15" customHeight="1" thickTop="1" thickBot="1">
      <c r="B71" s="501"/>
      <c r="C71" s="501" t="s">
        <v>677</v>
      </c>
      <c r="D71" s="496">
        <f>(D67-D68)*(D70/D69)</f>
        <v>157500</v>
      </c>
      <c r="F71" s="494">
        <v>3</v>
      </c>
      <c r="G71" s="496">
        <v>567</v>
      </c>
      <c r="H71" s="497">
        <f>G71/G70-1</f>
        <v>-5.5000000000000049E-2</v>
      </c>
      <c r="I71" s="498">
        <f>I70+J70</f>
        <v>3690.2249999999999</v>
      </c>
      <c r="J71" s="500">
        <f>I71*H72</f>
        <v>0</v>
      </c>
    </row>
    <row r="72" spans="2:11" ht="15" customHeight="1" thickTop="1" thickBot="1">
      <c r="F72" s="494">
        <v>4</v>
      </c>
      <c r="G72" s="496">
        <v>567</v>
      </c>
      <c r="H72" s="497">
        <f>G72/G71-1</f>
        <v>0</v>
      </c>
      <c r="I72" s="498">
        <f>I71+J71</f>
        <v>3690.2249999999999</v>
      </c>
      <c r="J72" s="500">
        <f>I72*H73</f>
        <v>0</v>
      </c>
    </row>
    <row r="73" spans="2:11" ht="15" customHeight="1" thickTop="1" thickBot="1">
      <c r="F73" s="494">
        <v>5</v>
      </c>
      <c r="G73" s="496">
        <v>567</v>
      </c>
      <c r="H73" s="497">
        <f>G73/G72-1</f>
        <v>0</v>
      </c>
      <c r="I73" s="498">
        <f>I72+J72</f>
        <v>3690.2249999999999</v>
      </c>
      <c r="J73" s="500">
        <f>I73*H74</f>
        <v>0</v>
      </c>
    </row>
    <row r="74" spans="2:11" ht="15" customHeight="1" thickTop="1">
      <c r="G74" s="419" t="s">
        <v>678</v>
      </c>
    </row>
    <row r="79" spans="2:11" ht="15" customHeight="1" thickBot="1"/>
    <row r="80" spans="2:11" ht="15" customHeight="1" thickBot="1">
      <c r="B80" s="1729" t="s">
        <v>679</v>
      </c>
      <c r="C80" s="1730"/>
      <c r="D80" s="1730"/>
      <c r="E80" s="1730"/>
      <c r="F80" s="1731"/>
    </row>
    <row r="81" spans="2:13" ht="15" customHeight="1">
      <c r="B81" s="502" t="s">
        <v>680</v>
      </c>
      <c r="C81" s="503" t="s">
        <v>681</v>
      </c>
      <c r="D81" s="503" t="s">
        <v>682</v>
      </c>
      <c r="E81" s="503" t="s">
        <v>683</v>
      </c>
      <c r="F81" s="504" t="s">
        <v>684</v>
      </c>
    </row>
    <row r="82" spans="2:13" ht="15" customHeight="1">
      <c r="B82" s="505" t="s">
        <v>685</v>
      </c>
      <c r="C82" s="506">
        <v>1</v>
      </c>
      <c r="D82" s="507">
        <v>330000</v>
      </c>
      <c r="E82" s="508">
        <v>0.4</v>
      </c>
      <c r="F82" s="509">
        <f>D82*(1+E82)*13*C82</f>
        <v>6005999.9999999991</v>
      </c>
    </row>
    <row r="83" spans="2:13" ht="15" customHeight="1">
      <c r="B83" s="505" t="s">
        <v>686</v>
      </c>
      <c r="C83" s="506">
        <v>4</v>
      </c>
      <c r="D83" s="507">
        <v>170000</v>
      </c>
      <c r="E83" s="510">
        <v>0.4</v>
      </c>
      <c r="F83" s="509">
        <f>D83*(1+E83)*13*C83</f>
        <v>12375999.999999998</v>
      </c>
    </row>
    <row r="84" spans="2:13" ht="15" customHeight="1" thickBot="1">
      <c r="B84" s="511"/>
      <c r="C84" s="512"/>
      <c r="D84" s="513"/>
      <c r="E84" s="512"/>
      <c r="F84" s="514">
        <f>D84*(1+E84)*13*C84</f>
        <v>0</v>
      </c>
    </row>
    <row r="85" spans="2:13" ht="15" customHeight="1" thickBot="1">
      <c r="C85" s="515"/>
      <c r="D85" s="515"/>
      <c r="E85" s="516" t="s">
        <v>176</v>
      </c>
      <c r="F85" s="517">
        <f>SUM(F82:F84)</f>
        <v>18381999.999999996</v>
      </c>
    </row>
    <row r="86" spans="2:13" ht="15" customHeight="1" thickBot="1"/>
    <row r="87" spans="2:13" ht="15" customHeight="1" thickBot="1">
      <c r="B87" s="1732" t="s">
        <v>576</v>
      </c>
      <c r="C87" s="1733"/>
      <c r="D87" s="1733"/>
      <c r="E87" s="1733"/>
      <c r="F87" s="1733"/>
      <c r="G87" s="1733"/>
      <c r="H87" s="1733"/>
      <c r="I87" s="1733"/>
      <c r="J87" s="1733"/>
      <c r="K87" s="1734"/>
    </row>
    <row r="88" spans="2:13" ht="15" customHeight="1">
      <c r="B88" s="518" t="s">
        <v>577</v>
      </c>
      <c r="C88" s="519" t="s">
        <v>578</v>
      </c>
      <c r="D88" s="520" t="s">
        <v>579</v>
      </c>
      <c r="E88" s="520" t="s">
        <v>102</v>
      </c>
      <c r="F88" s="520" t="s">
        <v>580</v>
      </c>
      <c r="G88" s="520" t="s">
        <v>581</v>
      </c>
      <c r="H88" s="520" t="s">
        <v>582</v>
      </c>
      <c r="I88" s="521" t="s">
        <v>583</v>
      </c>
      <c r="J88" s="522" t="s">
        <v>584</v>
      </c>
      <c r="K88" s="518" t="s">
        <v>585</v>
      </c>
      <c r="M88" s="518" t="s">
        <v>586</v>
      </c>
    </row>
    <row r="89" spans="2:13" ht="15" customHeight="1">
      <c r="B89" s="523" t="s">
        <v>587</v>
      </c>
      <c r="C89" s="524">
        <v>580</v>
      </c>
      <c r="D89" s="506" t="s">
        <v>519</v>
      </c>
      <c r="E89" s="525"/>
      <c r="F89" s="525">
        <v>0.2</v>
      </c>
      <c r="G89" s="526">
        <f>1-F89</f>
        <v>0.8</v>
      </c>
      <c r="H89" s="527">
        <f>C89/G89</f>
        <v>725</v>
      </c>
      <c r="I89" s="506">
        <v>5</v>
      </c>
      <c r="J89" s="528">
        <f>I89*H89*(1+E89)</f>
        <v>3625</v>
      </c>
      <c r="K89" s="1735">
        <f>SUM(J89:J93)</f>
        <v>4354.5</v>
      </c>
      <c r="L89" s="1717" t="s">
        <v>588</v>
      </c>
      <c r="M89" s="1718">
        <f>SUM(K89,L93)</f>
        <v>4554.5</v>
      </c>
    </row>
    <row r="90" spans="2:13" ht="15" customHeight="1">
      <c r="B90" s="523" t="s">
        <v>589</v>
      </c>
      <c r="C90" s="524">
        <v>100</v>
      </c>
      <c r="D90" s="506" t="s">
        <v>519</v>
      </c>
      <c r="E90" s="525">
        <v>0.1</v>
      </c>
      <c r="F90" s="525"/>
      <c r="G90" s="526">
        <f>1-F90</f>
        <v>1</v>
      </c>
      <c r="H90" s="527">
        <f>C90/G90</f>
        <v>100</v>
      </c>
      <c r="I90" s="526">
        <v>1</v>
      </c>
      <c r="J90" s="528">
        <f>I90*C90*(1+E90)</f>
        <v>110.00000000000001</v>
      </c>
      <c r="K90" s="1736"/>
      <c r="L90" s="1717"/>
      <c r="M90" s="1718"/>
    </row>
    <row r="91" spans="2:13" ht="15" customHeight="1">
      <c r="B91" s="523" t="s">
        <v>590</v>
      </c>
      <c r="C91" s="524">
        <v>150</v>
      </c>
      <c r="D91" s="506" t="s">
        <v>591</v>
      </c>
      <c r="E91" s="525"/>
      <c r="F91" s="525"/>
      <c r="G91" s="526">
        <f>1-F91</f>
        <v>1</v>
      </c>
      <c r="H91" s="527">
        <f>C91/G91</f>
        <v>150</v>
      </c>
      <c r="I91" s="506">
        <v>0.35</v>
      </c>
      <c r="J91" s="528">
        <f>I91*C91*(1+E91)</f>
        <v>52.5</v>
      </c>
      <c r="K91" s="1736"/>
      <c r="L91" s="1717"/>
      <c r="M91" s="1718"/>
    </row>
    <row r="92" spans="2:13" ht="15" customHeight="1">
      <c r="B92" s="523" t="s">
        <v>592</v>
      </c>
      <c r="C92" s="524">
        <v>63</v>
      </c>
      <c r="D92" s="506" t="s">
        <v>591</v>
      </c>
      <c r="E92" s="525"/>
      <c r="F92" s="525"/>
      <c r="G92" s="526">
        <f>1-F92</f>
        <v>1</v>
      </c>
      <c r="H92" s="527">
        <f>C92/G92</f>
        <v>63</v>
      </c>
      <c r="I92" s="506">
        <v>8</v>
      </c>
      <c r="J92" s="528">
        <f>I92*C92*(1+E92)</f>
        <v>504</v>
      </c>
      <c r="K92" s="1736"/>
      <c r="L92" s="1717"/>
      <c r="M92" s="1718"/>
    </row>
    <row r="93" spans="2:13" ht="15" customHeight="1" thickBot="1">
      <c r="B93" s="529" t="s">
        <v>593</v>
      </c>
      <c r="C93" s="530">
        <v>63</v>
      </c>
      <c r="D93" s="512" t="s">
        <v>594</v>
      </c>
      <c r="E93" s="531"/>
      <c r="F93" s="531"/>
      <c r="G93" s="526">
        <f>1-F93</f>
        <v>1</v>
      </c>
      <c r="H93" s="527">
        <f>C93/G93</f>
        <v>63</v>
      </c>
      <c r="I93" s="512">
        <v>1</v>
      </c>
      <c r="J93" s="528">
        <f>I93*C93*(1+E93)</f>
        <v>63</v>
      </c>
      <c r="K93" s="1737"/>
      <c r="L93" s="532">
        <v>200</v>
      </c>
      <c r="M93" s="1718"/>
    </row>
    <row r="94" spans="2:13" ht="15" customHeight="1">
      <c r="C94" s="419" t="s">
        <v>595</v>
      </c>
      <c r="E94" s="1719" t="s">
        <v>596</v>
      </c>
      <c r="F94" s="1720"/>
      <c r="I94" s="419" t="s">
        <v>595</v>
      </c>
      <c r="L94" s="419" t="s">
        <v>597</v>
      </c>
    </row>
  </sheetData>
  <mergeCells count="12">
    <mergeCell ref="E94:F94"/>
    <mergeCell ref="B2:C4"/>
    <mergeCell ref="E5:P5"/>
    <mergeCell ref="Q5:AB5"/>
    <mergeCell ref="E20:P20"/>
    <mergeCell ref="Q20:AB20"/>
    <mergeCell ref="F65:J65"/>
    <mergeCell ref="B80:F80"/>
    <mergeCell ref="B87:K87"/>
    <mergeCell ref="K89:K93"/>
    <mergeCell ref="L89:L92"/>
    <mergeCell ref="M89:M93"/>
  </mergeCells>
  <conditionalFormatting sqref="B80">
    <cfRule type="containsText" dxfId="27" priority="1" operator="containsText" text="999">
      <formula>NOT(ISERROR(SEARCH(("999"),(B80))))</formula>
    </cfRule>
  </conditionalFormatting>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A4866-2010-467C-A98F-0342F411AB78}">
  <dimension ref="A1:T1013"/>
  <sheetViews>
    <sheetView topLeftCell="F1" workbookViewId="0">
      <selection activeCell="O12" sqref="O12"/>
    </sheetView>
  </sheetViews>
  <sheetFormatPr defaultColWidth="14.42578125" defaultRowHeight="15" customHeight="1"/>
  <cols>
    <col min="1" max="9" width="12.140625" style="384" customWidth="1"/>
    <col min="10" max="10" width="15.140625" style="384" customWidth="1"/>
    <col min="11" max="11" width="19.42578125" style="384" customWidth="1"/>
    <col min="12" max="12" width="17.85546875" style="384" customWidth="1"/>
    <col min="13" max="13" width="17" style="384" customWidth="1"/>
    <col min="14" max="14" width="16.5703125" style="384" customWidth="1"/>
    <col min="15" max="15" width="12.140625" style="384" customWidth="1"/>
    <col min="16" max="16" width="15.5703125" style="384" customWidth="1"/>
    <col min="17" max="17" width="8.85546875" style="384" customWidth="1"/>
    <col min="18" max="18" width="13.7109375" style="384" bestFit="1" customWidth="1"/>
    <col min="19" max="19" width="27.7109375" style="384" customWidth="1"/>
    <col min="20" max="26" width="12.140625" style="384" customWidth="1"/>
    <col min="27" max="16384" width="14.42578125" style="384"/>
  </cols>
  <sheetData>
    <row r="1" spans="1:20" ht="14.25" customHeight="1"/>
    <row r="2" spans="1:20" ht="14.25" customHeight="1" thickBot="1">
      <c r="I2" s="1741" t="s">
        <v>605</v>
      </c>
      <c r="J2" s="1741"/>
      <c r="K2" s="1741"/>
      <c r="L2" s="1741"/>
      <c r="M2" s="1741"/>
      <c r="N2" s="1741"/>
    </row>
    <row r="3" spans="1:20" ht="14.25" customHeight="1" thickBot="1">
      <c r="I3" s="422" t="s">
        <v>103</v>
      </c>
      <c r="J3" s="423" t="s">
        <v>606</v>
      </c>
      <c r="K3" s="423"/>
      <c r="L3" s="1696" t="s">
        <v>607</v>
      </c>
      <c r="M3" s="1699"/>
      <c r="N3" s="424">
        <v>0.12</v>
      </c>
    </row>
    <row r="4" spans="1:20" ht="14.25" customHeight="1" thickBot="1">
      <c r="A4" s="533" t="s">
        <v>687</v>
      </c>
      <c r="B4" s="534"/>
      <c r="C4" s="534"/>
      <c r="D4" s="534"/>
      <c r="E4" s="534"/>
      <c r="F4" s="534"/>
      <c r="I4" s="423"/>
      <c r="J4" s="423"/>
      <c r="K4" s="423"/>
      <c r="L4" s="1688" t="s">
        <v>608</v>
      </c>
      <c r="M4" s="1689"/>
      <c r="N4" s="425">
        <v>60</v>
      </c>
    </row>
    <row r="5" spans="1:20" ht="14.25" customHeight="1" thickBot="1">
      <c r="A5" s="534" t="s">
        <v>688</v>
      </c>
      <c r="B5" s="534"/>
      <c r="C5" s="534"/>
      <c r="D5" s="534"/>
      <c r="E5" s="534"/>
      <c r="F5" s="534"/>
      <c r="I5" s="426" t="s">
        <v>609</v>
      </c>
      <c r="J5" s="427">
        <v>90000</v>
      </c>
      <c r="K5" s="423"/>
      <c r="L5" s="1688" t="s">
        <v>610</v>
      </c>
      <c r="M5" s="1689"/>
      <c r="N5" s="425">
        <v>360</v>
      </c>
      <c r="O5" s="384" t="s">
        <v>611</v>
      </c>
    </row>
    <row r="6" spans="1:20" ht="14.25" customHeight="1" thickBot="1">
      <c r="A6" s="534" t="s">
        <v>689</v>
      </c>
      <c r="B6" s="534"/>
      <c r="C6" s="534" t="s">
        <v>690</v>
      </c>
      <c r="D6" s="534"/>
      <c r="E6" s="534"/>
      <c r="F6" s="534"/>
      <c r="I6" s="428" t="s">
        <v>102</v>
      </c>
      <c r="J6" s="429">
        <f>N7</f>
        <v>0.12616241926400007</v>
      </c>
      <c r="K6" s="423"/>
      <c r="L6" s="1688" t="s">
        <v>612</v>
      </c>
      <c r="M6" s="1689"/>
      <c r="N6" s="425">
        <v>360</v>
      </c>
      <c r="R6" s="1700" t="s">
        <v>613</v>
      </c>
      <c r="S6" s="1701"/>
      <c r="T6" s="1702"/>
    </row>
    <row r="7" spans="1:20" ht="14.25" customHeight="1" thickBot="1">
      <c r="A7" s="534"/>
      <c r="B7" s="534"/>
      <c r="C7" s="534" t="s">
        <v>691</v>
      </c>
      <c r="D7" s="534"/>
      <c r="E7" s="534"/>
      <c r="F7" s="534"/>
      <c r="I7" s="430" t="s">
        <v>614</v>
      </c>
      <c r="J7" s="431">
        <v>5</v>
      </c>
      <c r="K7" s="423" t="s">
        <v>615</v>
      </c>
      <c r="L7" s="1690" t="s">
        <v>616</v>
      </c>
      <c r="M7" s="1691"/>
      <c r="N7" s="432">
        <f>((1+N3*N4/N6)^(N5/N4))-1</f>
        <v>0.12616241926400007</v>
      </c>
      <c r="R7" s="1742" t="s">
        <v>484</v>
      </c>
      <c r="S7" s="1743"/>
      <c r="T7" s="535">
        <v>7.0000000000000007E-2</v>
      </c>
    </row>
    <row r="8" spans="1:20" ht="14.25" customHeight="1" thickBot="1">
      <c r="A8" s="534"/>
      <c r="B8" s="534"/>
      <c r="C8" s="534" t="s">
        <v>692</v>
      </c>
      <c r="D8" s="534"/>
      <c r="E8" s="534"/>
      <c r="F8" s="534"/>
      <c r="I8" s="423"/>
      <c r="J8" s="423"/>
      <c r="K8" s="423"/>
      <c r="L8" s="423"/>
      <c r="M8" s="423"/>
      <c r="N8" s="423"/>
      <c r="R8" s="1742" t="s">
        <v>617</v>
      </c>
      <c r="S8" s="1743"/>
      <c r="T8" s="536">
        <v>60</v>
      </c>
    </row>
    <row r="9" spans="1:20" ht="14.25" customHeight="1">
      <c r="I9" s="435" t="s">
        <v>427</v>
      </c>
      <c r="J9" s="436" t="s">
        <v>428</v>
      </c>
      <c r="K9" s="436" t="s">
        <v>102</v>
      </c>
      <c r="L9" s="436" t="s">
        <v>107</v>
      </c>
      <c r="M9" s="436" t="s">
        <v>109</v>
      </c>
      <c r="N9" s="437" t="s">
        <v>429</v>
      </c>
      <c r="R9" s="1742" t="s">
        <v>618</v>
      </c>
      <c r="S9" s="1743"/>
      <c r="T9" s="536">
        <v>360</v>
      </c>
    </row>
    <row r="10" spans="1:20" ht="14.25" customHeight="1" thickBot="1">
      <c r="I10" s="438">
        <v>1</v>
      </c>
      <c r="J10" s="439">
        <f>J5</f>
        <v>90000</v>
      </c>
      <c r="K10" s="439">
        <f t="shared" ref="K10:K19" si="0">J10*$J$6</f>
        <v>11354.617733760006</v>
      </c>
      <c r="L10" s="439">
        <f t="shared" ref="L10:L19" si="1">M10-K10</f>
        <v>13994.522240423958</v>
      </c>
      <c r="M10" s="439">
        <f>J5*J6/(1-(1+J6)^-J7)</f>
        <v>25349.139974183963</v>
      </c>
      <c r="N10" s="440">
        <f t="shared" ref="N10:N19" si="2">J10-L10</f>
        <v>76005.477759576039</v>
      </c>
      <c r="R10" s="1694" t="s">
        <v>619</v>
      </c>
      <c r="S10" s="1695"/>
      <c r="T10" s="441">
        <f>(1+T7)^(T9/T8)-1</f>
        <v>0.50073035184900005</v>
      </c>
    </row>
    <row r="11" spans="1:20" ht="14.25" customHeight="1">
      <c r="I11" s="438">
        <v>2</v>
      </c>
      <c r="J11" s="439">
        <f t="shared" ref="J11:J19" si="3">N10</f>
        <v>76005.477759576039</v>
      </c>
      <c r="K11" s="439">
        <f t="shared" si="0"/>
        <v>9589.0349514642658</v>
      </c>
      <c r="L11" s="439">
        <f t="shared" si="1"/>
        <v>15760.105022719697</v>
      </c>
      <c r="M11" s="439">
        <f t="shared" ref="M11:M19" si="4">+M10</f>
        <v>25349.139974183963</v>
      </c>
      <c r="N11" s="440">
        <f t="shared" si="2"/>
        <v>60245.372736856341</v>
      </c>
    </row>
    <row r="12" spans="1:20" ht="14.25" customHeight="1">
      <c r="A12" s="537" t="s">
        <v>386</v>
      </c>
      <c r="B12" s="538"/>
      <c r="C12" s="538"/>
      <c r="D12" s="538"/>
      <c r="E12" s="538"/>
      <c r="F12" s="538"/>
      <c r="I12" s="438">
        <v>3</v>
      </c>
      <c r="J12" s="439">
        <f t="shared" si="3"/>
        <v>60245.372736856341</v>
      </c>
      <c r="K12" s="439">
        <f t="shared" si="0"/>
        <v>7600.7019739432289</v>
      </c>
      <c r="L12" s="439">
        <f t="shared" si="1"/>
        <v>17748.438000240734</v>
      </c>
      <c r="M12" s="439">
        <f t="shared" si="4"/>
        <v>25349.139974183963</v>
      </c>
      <c r="N12" s="440">
        <f t="shared" si="2"/>
        <v>42496.934736615607</v>
      </c>
    </row>
    <row r="13" spans="1:20" ht="14.25" customHeight="1">
      <c r="A13" s="538" t="s">
        <v>693</v>
      </c>
      <c r="B13" s="538"/>
      <c r="C13" s="538"/>
      <c r="D13" s="538" t="s">
        <v>694</v>
      </c>
      <c r="E13" s="538"/>
      <c r="F13" s="538"/>
      <c r="I13" s="438">
        <v>4</v>
      </c>
      <c r="J13" s="439">
        <f t="shared" si="3"/>
        <v>42496.934736615607</v>
      </c>
      <c r="K13" s="439">
        <f t="shared" si="0"/>
        <v>5361.516097675747</v>
      </c>
      <c r="L13" s="439">
        <f t="shared" si="1"/>
        <v>19987.623876508216</v>
      </c>
      <c r="M13" s="439">
        <f t="shared" si="4"/>
        <v>25349.139974183963</v>
      </c>
      <c r="N13" s="440">
        <f t="shared" si="2"/>
        <v>22509.310860107391</v>
      </c>
      <c r="P13" s="384" t="s">
        <v>620</v>
      </c>
    </row>
    <row r="14" spans="1:20" ht="14.25" customHeight="1">
      <c r="A14" s="538" t="s">
        <v>695</v>
      </c>
      <c r="B14" s="538"/>
      <c r="C14" s="538"/>
      <c r="D14" s="538" t="s">
        <v>696</v>
      </c>
      <c r="E14" s="538"/>
      <c r="F14" s="538"/>
      <c r="I14" s="438">
        <v>5</v>
      </c>
      <c r="J14" s="439">
        <f t="shared" si="3"/>
        <v>22509.310860107391</v>
      </c>
      <c r="K14" s="439">
        <f t="shared" si="0"/>
        <v>2839.8291140765787</v>
      </c>
      <c r="L14" s="439">
        <f t="shared" si="1"/>
        <v>22509.310860107384</v>
      </c>
      <c r="M14" s="439">
        <f t="shared" si="4"/>
        <v>25349.139974183963</v>
      </c>
      <c r="N14" s="440">
        <f t="shared" si="2"/>
        <v>0</v>
      </c>
      <c r="P14" s="384">
        <v>90000</v>
      </c>
      <c r="R14" s="442">
        <v>1</v>
      </c>
    </row>
    <row r="15" spans="1:20" ht="14.25" customHeight="1">
      <c r="A15" s="538" t="s">
        <v>697</v>
      </c>
      <c r="B15" s="538"/>
      <c r="C15" s="538"/>
      <c r="D15" s="538" t="s">
        <v>698</v>
      </c>
      <c r="E15" s="538"/>
      <c r="F15" s="538"/>
      <c r="I15" s="438">
        <v>6</v>
      </c>
      <c r="J15" s="439">
        <f t="shared" si="3"/>
        <v>0</v>
      </c>
      <c r="K15" s="439">
        <f t="shared" si="0"/>
        <v>0</v>
      </c>
      <c r="L15" s="439">
        <f t="shared" si="1"/>
        <v>25349.139974183963</v>
      </c>
      <c r="M15" s="439">
        <f t="shared" si="4"/>
        <v>25349.139974183963</v>
      </c>
      <c r="N15" s="440">
        <f t="shared" si="2"/>
        <v>-25349.139974183963</v>
      </c>
      <c r="P15" s="384">
        <f>5*10818</f>
        <v>54090</v>
      </c>
      <c r="R15" s="384">
        <f>(P15*100)/P14</f>
        <v>60.1</v>
      </c>
    </row>
    <row r="16" spans="1:20" ht="14.25" customHeight="1">
      <c r="A16" s="538"/>
      <c r="B16" s="538"/>
      <c r="C16" s="538"/>
      <c r="D16" s="538"/>
      <c r="E16" s="538"/>
      <c r="F16" s="538"/>
      <c r="I16" s="438">
        <v>7</v>
      </c>
      <c r="J16" s="439">
        <f t="shared" si="3"/>
        <v>-25349.139974183963</v>
      </c>
      <c r="K16" s="439">
        <f t="shared" si="0"/>
        <v>-3198.1088254048209</v>
      </c>
      <c r="L16" s="439">
        <f t="shared" si="1"/>
        <v>28547.248799588786</v>
      </c>
      <c r="M16" s="439">
        <f t="shared" si="4"/>
        <v>25349.139974183963</v>
      </c>
      <c r="N16" s="440">
        <f t="shared" si="2"/>
        <v>-53896.388773772749</v>
      </c>
    </row>
    <row r="17" spans="1:19" ht="14.25" customHeight="1">
      <c r="A17" s="538"/>
      <c r="B17" s="538"/>
      <c r="C17" s="538"/>
      <c r="D17" s="538"/>
      <c r="E17" s="538"/>
      <c r="F17" s="538"/>
      <c r="I17" s="438">
        <v>8</v>
      </c>
      <c r="J17" s="439">
        <f t="shared" si="3"/>
        <v>-53896.388773772749</v>
      </c>
      <c r="K17" s="439">
        <f t="shared" si="0"/>
        <v>-6799.6987972922643</v>
      </c>
      <c r="L17" s="439">
        <f t="shared" si="1"/>
        <v>32148.838771476228</v>
      </c>
      <c r="M17" s="439">
        <f t="shared" si="4"/>
        <v>25349.139974183963</v>
      </c>
      <c r="N17" s="440">
        <f t="shared" si="2"/>
        <v>-86045.227545248985</v>
      </c>
    </row>
    <row r="18" spans="1:19" ht="14.25" customHeight="1">
      <c r="A18" s="538"/>
      <c r="B18" s="538"/>
      <c r="C18" s="538"/>
      <c r="D18" s="538"/>
      <c r="E18" s="538"/>
      <c r="F18" s="538"/>
      <c r="I18" s="438">
        <v>9</v>
      </c>
      <c r="J18" s="439">
        <f t="shared" si="3"/>
        <v>-86045.227545248985</v>
      </c>
      <c r="K18" s="439">
        <f t="shared" si="0"/>
        <v>-10855.67407322999</v>
      </c>
      <c r="L18" s="439">
        <f t="shared" si="1"/>
        <v>36204.814047413951</v>
      </c>
      <c r="M18" s="439">
        <f t="shared" si="4"/>
        <v>25349.139974183963</v>
      </c>
      <c r="N18" s="440">
        <f t="shared" si="2"/>
        <v>-122250.04159266294</v>
      </c>
    </row>
    <row r="19" spans="1:19" ht="14.25" customHeight="1">
      <c r="A19" s="538"/>
      <c r="B19" s="538"/>
      <c r="C19" s="538"/>
      <c r="D19" s="538"/>
      <c r="E19" s="538"/>
      <c r="F19" s="538"/>
      <c r="I19" s="438">
        <v>10</v>
      </c>
      <c r="J19" s="439">
        <f t="shared" si="3"/>
        <v>-122250.04159266294</v>
      </c>
      <c r="K19" s="439">
        <f t="shared" si="0"/>
        <v>-15423.361002454989</v>
      </c>
      <c r="L19" s="439">
        <f t="shared" si="1"/>
        <v>40772.500976638956</v>
      </c>
      <c r="M19" s="439">
        <f t="shared" si="4"/>
        <v>25349.139974183963</v>
      </c>
      <c r="N19" s="440">
        <f t="shared" si="2"/>
        <v>-163022.54256930191</v>
      </c>
    </row>
    <row r="20" spans="1:19" ht="14.25" customHeight="1" thickBot="1">
      <c r="A20" s="538"/>
      <c r="B20" s="538"/>
      <c r="C20" s="538"/>
      <c r="D20" s="538"/>
      <c r="E20" s="538"/>
      <c r="F20" s="538"/>
      <c r="I20" s="443" t="s">
        <v>621</v>
      </c>
      <c r="J20" s="444"/>
      <c r="K20" s="444">
        <f>SUM(K10:K12)</f>
        <v>28544.3546591675</v>
      </c>
      <c r="L20" s="444">
        <f>SUM(L10:L12)</f>
        <v>47503.065263384386</v>
      </c>
      <c r="M20" s="444">
        <f>SUM(M10:M13)</f>
        <v>101396.55989673585</v>
      </c>
      <c r="N20" s="445"/>
    </row>
    <row r="21" spans="1:19" ht="14.25" customHeight="1">
      <c r="A21" s="538"/>
      <c r="B21" s="538"/>
      <c r="C21" s="538"/>
      <c r="D21" s="538"/>
      <c r="E21" s="538"/>
      <c r="F21" s="538"/>
    </row>
    <row r="22" spans="1:19" ht="14.25" customHeight="1" thickBot="1">
      <c r="I22" s="1741" t="s">
        <v>622</v>
      </c>
      <c r="J22" s="1741"/>
      <c r="K22" s="1741"/>
      <c r="L22" s="1741"/>
      <c r="M22" s="1741"/>
      <c r="N22" s="1741"/>
    </row>
    <row r="23" spans="1:19" ht="14.25" customHeight="1" thickBot="1">
      <c r="I23" s="422" t="s">
        <v>103</v>
      </c>
      <c r="J23" s="423" t="s">
        <v>606</v>
      </c>
      <c r="K23" s="423"/>
      <c r="L23" s="1696" t="s">
        <v>607</v>
      </c>
      <c r="M23" s="1697"/>
      <c r="N23" s="424">
        <v>0.12</v>
      </c>
    </row>
    <row r="24" spans="1:19" ht="14.25" customHeight="1" thickBot="1">
      <c r="I24" s="423"/>
      <c r="J24" s="423"/>
      <c r="K24" s="423"/>
      <c r="L24" s="1688" t="s">
        <v>608</v>
      </c>
      <c r="M24" s="1689"/>
      <c r="N24" s="425">
        <v>60</v>
      </c>
    </row>
    <row r="25" spans="1:19" ht="14.25" customHeight="1">
      <c r="I25" s="426" t="s">
        <v>609</v>
      </c>
      <c r="J25" s="427">
        <v>38409</v>
      </c>
      <c r="K25" s="423"/>
      <c r="L25" s="1688" t="s">
        <v>610</v>
      </c>
      <c r="M25" s="1689"/>
      <c r="N25" s="425">
        <v>360</v>
      </c>
      <c r="P25" s="1000" t="s">
        <v>623</v>
      </c>
      <c r="Q25" s="1001"/>
      <c r="R25" s="1002"/>
    </row>
    <row r="26" spans="1:19" ht="14.25" customHeight="1">
      <c r="A26" s="539" t="s">
        <v>699</v>
      </c>
      <c r="I26" s="428" t="s">
        <v>102</v>
      </c>
      <c r="J26" s="429">
        <f>N27</f>
        <v>0.12616241926400007</v>
      </c>
      <c r="K26" s="423"/>
      <c r="L26" s="1688" t="s">
        <v>612</v>
      </c>
      <c r="M26" s="1689"/>
      <c r="N26" s="425">
        <v>360</v>
      </c>
      <c r="P26" s="1003"/>
      <c r="R26" s="1005"/>
    </row>
    <row r="27" spans="1:19" ht="14.25" customHeight="1" thickBot="1">
      <c r="A27" s="540"/>
      <c r="I27" s="430" t="s">
        <v>614</v>
      </c>
      <c r="J27" s="431">
        <v>5</v>
      </c>
      <c r="K27" s="423" t="s">
        <v>615</v>
      </c>
      <c r="L27" s="1690" t="s">
        <v>616</v>
      </c>
      <c r="M27" s="1691"/>
      <c r="N27" s="432">
        <f>((1+N23*N24/N26)^(N25/N24))-1</f>
        <v>0.12616241926400007</v>
      </c>
      <c r="P27" s="1003"/>
      <c r="R27" s="1005"/>
    </row>
    <row r="28" spans="1:19" ht="14.25" customHeight="1" thickBot="1">
      <c r="I28" s="423"/>
      <c r="J28" s="423"/>
      <c r="K28" s="423"/>
      <c r="L28" s="423"/>
      <c r="M28" s="423"/>
      <c r="N28" s="423"/>
      <c r="P28" s="1003">
        <v>90000</v>
      </c>
      <c r="R28" s="1248">
        <v>1</v>
      </c>
    </row>
    <row r="29" spans="1:19" ht="14.25" customHeight="1" thickBot="1">
      <c r="A29" s="452" t="s">
        <v>0</v>
      </c>
      <c r="B29" s="541">
        <v>0.12</v>
      </c>
      <c r="I29" s="435" t="s">
        <v>427</v>
      </c>
      <c r="J29" s="436" t="s">
        <v>428</v>
      </c>
      <c r="K29" s="436" t="s">
        <v>102</v>
      </c>
      <c r="L29" s="436" t="s">
        <v>107</v>
      </c>
      <c r="M29" s="436" t="s">
        <v>109</v>
      </c>
      <c r="N29" s="437" t="s">
        <v>429</v>
      </c>
      <c r="P29" s="1027">
        <v>38409</v>
      </c>
      <c r="Q29" s="1028"/>
      <c r="R29" s="1029">
        <f>(P29*100)/P28</f>
        <v>42.676666666666669</v>
      </c>
    </row>
    <row r="30" spans="1:19" ht="14.25" customHeight="1">
      <c r="A30" s="452" t="s">
        <v>700</v>
      </c>
      <c r="B30" s="542">
        <v>360</v>
      </c>
      <c r="I30" s="438">
        <v>1</v>
      </c>
      <c r="J30" s="439">
        <f>J25</f>
        <v>38409</v>
      </c>
      <c r="K30" s="439">
        <f>J30*$J$26</f>
        <v>4845.772361510979</v>
      </c>
      <c r="L30" s="439">
        <f t="shared" ref="L30:L39" si="5">M30-K30</f>
        <v>5972.3956081382657</v>
      </c>
      <c r="M30" s="439">
        <f>J25*J26/(1-(1+J26)^-J27)</f>
        <v>10818.167969649245</v>
      </c>
      <c r="N30" s="440">
        <f t="shared" ref="N30:N39" si="6">J30-L30</f>
        <v>32436.604391861736</v>
      </c>
    </row>
    <row r="31" spans="1:19" ht="14.25" customHeight="1" thickBot="1">
      <c r="A31" s="543" t="s">
        <v>701</v>
      </c>
      <c r="B31" s="542">
        <v>60</v>
      </c>
      <c r="C31" s="384" t="s">
        <v>702</v>
      </c>
      <c r="I31" s="438">
        <v>2</v>
      </c>
      <c r="J31" s="439">
        <f t="shared" ref="J31:J39" si="7">N30</f>
        <v>32436.604391861736</v>
      </c>
      <c r="K31" s="439">
        <f t="shared" ref="K31:K39" si="8">J31*$J$6</f>
        <v>4092.2804827865662</v>
      </c>
      <c r="L31" s="439">
        <f t="shared" si="5"/>
        <v>6725.887486862679</v>
      </c>
      <c r="M31" s="439">
        <f t="shared" ref="M31:M39" si="9">+M30</f>
        <v>10818.167969649245</v>
      </c>
      <c r="N31" s="440">
        <f t="shared" si="6"/>
        <v>25710.716904999055</v>
      </c>
    </row>
    <row r="32" spans="1:19" ht="14.25" customHeight="1">
      <c r="A32" s="543"/>
      <c r="B32" s="543"/>
      <c r="I32" s="438">
        <v>3</v>
      </c>
      <c r="J32" s="439">
        <f t="shared" si="7"/>
        <v>25710.716904999055</v>
      </c>
      <c r="K32" s="439">
        <f t="shared" si="8"/>
        <v>3243.7262457465049</v>
      </c>
      <c r="L32" s="439">
        <f t="shared" si="5"/>
        <v>7574.4417239027398</v>
      </c>
      <c r="M32" s="439">
        <f t="shared" si="9"/>
        <v>10818.167969649245</v>
      </c>
      <c r="N32" s="440">
        <f t="shared" si="6"/>
        <v>18136.275181096316</v>
      </c>
      <c r="P32" s="1738" t="s">
        <v>1220</v>
      </c>
      <c r="Q32" s="1739"/>
      <c r="R32" s="1739"/>
      <c r="S32" s="1740"/>
    </row>
    <row r="33" spans="1:19" ht="14.25" customHeight="1">
      <c r="A33" s="452" t="s">
        <v>703</v>
      </c>
      <c r="B33" s="544">
        <f>(1+B29*B31/B30)^(B34/B31)-1</f>
        <v>0.12616241926400007</v>
      </c>
      <c r="I33" s="438">
        <v>4</v>
      </c>
      <c r="J33" s="439">
        <f t="shared" si="7"/>
        <v>18136.275181096316</v>
      </c>
      <c r="K33" s="439">
        <f t="shared" si="8"/>
        <v>2288.1163532847522</v>
      </c>
      <c r="L33" s="439">
        <f t="shared" si="5"/>
        <v>8530.0516163644934</v>
      </c>
      <c r="M33" s="439">
        <f t="shared" si="9"/>
        <v>10818.167969649245</v>
      </c>
      <c r="N33" s="440">
        <f t="shared" si="6"/>
        <v>9606.223564731823</v>
      </c>
      <c r="P33" s="1251">
        <f>M10</f>
        <v>25349.139974183963</v>
      </c>
      <c r="S33" s="1248">
        <v>1</v>
      </c>
    </row>
    <row r="34" spans="1:19" ht="14.25" customHeight="1">
      <c r="A34" s="452" t="s">
        <v>700</v>
      </c>
      <c r="B34" s="542">
        <v>360</v>
      </c>
      <c r="I34" s="438">
        <v>5</v>
      </c>
      <c r="J34" s="439">
        <f t="shared" si="7"/>
        <v>9606.223564731823</v>
      </c>
      <c r="K34" s="439">
        <f t="shared" si="8"/>
        <v>1211.9444049174135</v>
      </c>
      <c r="L34" s="439">
        <f t="shared" si="5"/>
        <v>9606.2235647318303</v>
      </c>
      <c r="M34" s="439">
        <f t="shared" si="9"/>
        <v>10818.167969649245</v>
      </c>
      <c r="N34" s="440">
        <f t="shared" si="6"/>
        <v>0</v>
      </c>
      <c r="P34" s="1251"/>
      <c r="S34" s="1005"/>
    </row>
    <row r="35" spans="1:19" ht="14.25" customHeight="1">
      <c r="I35" s="438">
        <v>6</v>
      </c>
      <c r="J35" s="439">
        <f t="shared" si="7"/>
        <v>0</v>
      </c>
      <c r="K35" s="439">
        <f t="shared" si="8"/>
        <v>0</v>
      </c>
      <c r="L35" s="439">
        <f t="shared" si="5"/>
        <v>10818.167969649245</v>
      </c>
      <c r="M35" s="439">
        <f t="shared" si="9"/>
        <v>10818.167969649245</v>
      </c>
      <c r="N35" s="440">
        <f t="shared" si="6"/>
        <v>-10818.167969649245</v>
      </c>
      <c r="P35" s="1251"/>
      <c r="S35" s="1005"/>
    </row>
    <row r="36" spans="1:19" ht="14.25" customHeight="1">
      <c r="I36" s="438">
        <v>7</v>
      </c>
      <c r="J36" s="439">
        <f t="shared" si="7"/>
        <v>-10818.167969649245</v>
      </c>
      <c r="K36" s="439">
        <f t="shared" si="8"/>
        <v>-1364.8462430552645</v>
      </c>
      <c r="L36" s="439">
        <f t="shared" si="5"/>
        <v>12183.014212704509</v>
      </c>
      <c r="M36" s="439">
        <f t="shared" si="9"/>
        <v>10818.167969649245</v>
      </c>
      <c r="N36" s="440">
        <f t="shared" si="6"/>
        <v>-23001.182182353754</v>
      </c>
      <c r="P36" s="1251">
        <v>10818</v>
      </c>
      <c r="S36" s="1249">
        <f>(P36*S33)/P33</f>
        <v>0.42676004042019783</v>
      </c>
    </row>
    <row r="37" spans="1:19" ht="14.25" customHeight="1" thickBot="1">
      <c r="I37" s="438">
        <v>8</v>
      </c>
      <c r="J37" s="439">
        <f t="shared" si="7"/>
        <v>-23001.182182353754</v>
      </c>
      <c r="K37" s="439">
        <f t="shared" si="8"/>
        <v>-2901.8847900577625</v>
      </c>
      <c r="L37" s="439">
        <f t="shared" si="5"/>
        <v>13720.052759707007</v>
      </c>
      <c r="M37" s="439">
        <f t="shared" si="9"/>
        <v>10818.167969649245</v>
      </c>
      <c r="N37" s="440">
        <f t="shared" si="6"/>
        <v>-36721.234942060764</v>
      </c>
      <c r="P37" s="1027"/>
      <c r="Q37" s="1028"/>
      <c r="R37" s="1028"/>
      <c r="S37" s="1250">
        <f>J5*S36</f>
        <v>38408.403637817806</v>
      </c>
    </row>
    <row r="38" spans="1:19" ht="14.25" customHeight="1">
      <c r="I38" s="438">
        <v>9</v>
      </c>
      <c r="J38" s="439">
        <f t="shared" si="7"/>
        <v>-36721.234942060764</v>
      </c>
      <c r="K38" s="439">
        <f t="shared" si="8"/>
        <v>-4632.8398386521194</v>
      </c>
      <c r="L38" s="439">
        <f t="shared" si="5"/>
        <v>15451.007808301365</v>
      </c>
      <c r="M38" s="439">
        <f t="shared" si="9"/>
        <v>10818.167969649245</v>
      </c>
      <c r="N38" s="440">
        <f t="shared" si="6"/>
        <v>-52172.242750362129</v>
      </c>
    </row>
    <row r="39" spans="1:19" ht="14.25" customHeight="1">
      <c r="I39" s="438">
        <v>10</v>
      </c>
      <c r="J39" s="439">
        <f t="shared" si="7"/>
        <v>-52172.242750362129</v>
      </c>
      <c r="K39" s="439">
        <f t="shared" si="8"/>
        <v>-6582.1763638143748</v>
      </c>
      <c r="L39" s="439">
        <f t="shared" si="5"/>
        <v>17400.344333463618</v>
      </c>
      <c r="M39" s="439">
        <f t="shared" si="9"/>
        <v>10818.167969649245</v>
      </c>
      <c r="N39" s="440">
        <f t="shared" si="6"/>
        <v>-69572.587083825754</v>
      </c>
    </row>
    <row r="40" spans="1:19" ht="14.25" customHeight="1" thickBot="1">
      <c r="I40" s="443" t="s">
        <v>621</v>
      </c>
      <c r="J40" s="444"/>
      <c r="K40" s="444">
        <f>SUM(K30:K32)</f>
        <v>12181.779090044049</v>
      </c>
      <c r="L40" s="444">
        <f>SUM(L30:L32)</f>
        <v>20272.724818903684</v>
      </c>
      <c r="M40" s="444">
        <f>SUM(M30:M33)</f>
        <v>43272.671878596979</v>
      </c>
      <c r="N40" s="445"/>
    </row>
    <row r="41" spans="1:19" ht="14.25" customHeight="1"/>
    <row r="42" spans="1:19" ht="14.25" customHeight="1"/>
    <row r="43" spans="1:19" ht="14.25" customHeight="1">
      <c r="A43" s="423"/>
      <c r="B43" s="545"/>
    </row>
    <row r="44" spans="1:19" ht="14.25" customHeight="1">
      <c r="A44" s="423"/>
      <c r="B44" s="423"/>
    </row>
    <row r="45" spans="1:19" ht="14.25" customHeight="1">
      <c r="A45" s="423"/>
      <c r="B45" s="546"/>
    </row>
    <row r="46" spans="1:19" ht="14.25" customHeight="1">
      <c r="A46" s="423"/>
      <c r="B46" s="423"/>
    </row>
    <row r="47" spans="1:19" ht="14.25" customHeight="1"/>
    <row r="48" spans="1: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sheetData>
  <mergeCells count="18">
    <mergeCell ref="I2:N2"/>
    <mergeCell ref="L3:M3"/>
    <mergeCell ref="L4:M4"/>
    <mergeCell ref="L5:M5"/>
    <mergeCell ref="L6:M6"/>
    <mergeCell ref="L26:M26"/>
    <mergeCell ref="L27:M27"/>
    <mergeCell ref="R6:T6"/>
    <mergeCell ref="P32:S32"/>
    <mergeCell ref="I22:N22"/>
    <mergeCell ref="L7:M7"/>
    <mergeCell ref="R7:S7"/>
    <mergeCell ref="R8:S8"/>
    <mergeCell ref="R9:S9"/>
    <mergeCell ref="R10:S10"/>
    <mergeCell ref="L23:M23"/>
    <mergeCell ref="L24:M24"/>
    <mergeCell ref="L25:M25"/>
  </mergeCells>
  <hyperlinks>
    <hyperlink ref="A26" r:id="rId1" xr:uid="{2B16AFFD-9482-499D-A91F-E9CFD652D27C}"/>
  </hyperlinks>
  <pageMargins left="0.7" right="0.7" top="0.75" bottom="0.75" header="0" footer="0"/>
  <pageSetup orientation="landscape"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77BD1-DC65-407A-AB7A-EF2B1CEC49DD}">
  <dimension ref="A2:Y187"/>
  <sheetViews>
    <sheetView workbookViewId="0">
      <selection activeCell="K120" sqref="K120"/>
    </sheetView>
  </sheetViews>
  <sheetFormatPr defaultRowHeight="12.75"/>
  <cols>
    <col min="3" max="3" width="35.42578125" bestFit="1" customWidth="1"/>
    <col min="4" max="4" width="37.28515625" bestFit="1" customWidth="1"/>
    <col min="5" max="5" width="16" bestFit="1" customWidth="1"/>
    <col min="6" max="6" width="17" bestFit="1" customWidth="1"/>
    <col min="7" max="7" width="30.140625" customWidth="1"/>
    <col min="8" max="8" width="18.5703125" customWidth="1"/>
    <col min="9" max="9" width="17.7109375" bestFit="1" customWidth="1"/>
    <col min="10" max="10" width="17.5703125" customWidth="1"/>
    <col min="11" max="11" width="15.5703125" bestFit="1" customWidth="1"/>
    <col min="12" max="12" width="18.85546875" bestFit="1" customWidth="1"/>
    <col min="13" max="13" width="18" bestFit="1" customWidth="1"/>
    <col min="14" max="14" width="21" bestFit="1" customWidth="1"/>
    <col min="15" max="15" width="16.7109375" customWidth="1"/>
    <col min="16" max="16" width="35.42578125" bestFit="1" customWidth="1"/>
    <col min="17" max="17" width="15.140625" bestFit="1" customWidth="1"/>
    <col min="18" max="19" width="12.28515625" bestFit="1" customWidth="1"/>
    <col min="20" max="20" width="12" customWidth="1"/>
    <col min="21" max="21" width="13.42578125" bestFit="1" customWidth="1"/>
    <col min="22" max="22" width="12.85546875" bestFit="1" customWidth="1"/>
    <col min="23" max="23" width="13.42578125" bestFit="1" customWidth="1"/>
    <col min="24" max="24" width="12.42578125" bestFit="1" customWidth="1"/>
    <col min="25" max="25" width="10.5703125" bestFit="1" customWidth="1"/>
  </cols>
  <sheetData>
    <row r="2" spans="1:15">
      <c r="A2" s="1744" t="s">
        <v>548</v>
      </c>
      <c r="B2" s="1745"/>
      <c r="M2" s="351"/>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380">
        <v>50000000</v>
      </c>
      <c r="N13" s="1222" t="s">
        <v>506</v>
      </c>
      <c r="O13" s="351"/>
    </row>
    <row r="14" spans="1:15">
      <c r="M14" s="380">
        <f>M13/1.21</f>
        <v>41322314.04958678</v>
      </c>
      <c r="N14" s="1222" t="s">
        <v>507</v>
      </c>
      <c r="O14" s="351"/>
    </row>
    <row r="15" spans="1:15">
      <c r="M15" s="380">
        <f>M14*0.05+M14</f>
        <v>43388429.752066121</v>
      </c>
      <c r="N15" s="1222" t="s">
        <v>508</v>
      </c>
      <c r="O15" s="351"/>
    </row>
    <row r="19" spans="13:23" ht="13.5" thickBot="1"/>
    <row r="20" spans="13:23">
      <c r="M20" s="356" t="s">
        <v>509</v>
      </c>
      <c r="N20" s="357"/>
      <c r="O20" s="357"/>
      <c r="P20" s="357"/>
      <c r="Q20" s="357"/>
      <c r="R20" s="215"/>
    </row>
    <row r="21" spans="13:23">
      <c r="M21" s="218"/>
      <c r="N21" s="351" t="s">
        <v>516</v>
      </c>
      <c r="O21" s="351"/>
      <c r="P21" s="351" t="s">
        <v>517</v>
      </c>
      <c r="R21" s="358" t="s">
        <v>523</v>
      </c>
    </row>
    <row r="22" spans="13:23">
      <c r="M22" s="359" t="s">
        <v>510</v>
      </c>
      <c r="N22">
        <f>(400/5)*1.35</f>
        <v>108</v>
      </c>
      <c r="O22" s="351" t="s">
        <v>520</v>
      </c>
      <c r="P22" s="208">
        <v>0.01</v>
      </c>
      <c r="Q22">
        <f t="shared" ref="Q22:Q27" si="0">N22*P22</f>
        <v>1.08</v>
      </c>
      <c r="R22" s="360">
        <f t="shared" ref="R22:R28" si="1">N22+Q22</f>
        <v>109.08</v>
      </c>
    </row>
    <row r="23" spans="13:23">
      <c r="M23" s="359" t="s">
        <v>511</v>
      </c>
      <c r="N23">
        <f>0.35*150</f>
        <v>52.5</v>
      </c>
      <c r="O23" s="351" t="s">
        <v>521</v>
      </c>
      <c r="P23" s="208">
        <v>0.05</v>
      </c>
      <c r="Q23">
        <f t="shared" si="0"/>
        <v>2.625</v>
      </c>
      <c r="R23" s="217">
        <f t="shared" si="1"/>
        <v>55.125</v>
      </c>
    </row>
    <row r="24" spans="13:23">
      <c r="M24" s="359" t="s">
        <v>512</v>
      </c>
      <c r="N24" s="351">
        <f>5*580</f>
        <v>2900</v>
      </c>
      <c r="O24" s="351" t="s">
        <v>522</v>
      </c>
      <c r="P24" s="208">
        <v>0.2</v>
      </c>
      <c r="Q24">
        <f t="shared" si="0"/>
        <v>580</v>
      </c>
      <c r="R24" s="217">
        <f t="shared" si="1"/>
        <v>3480</v>
      </c>
    </row>
    <row r="25" spans="13:23">
      <c r="M25" s="359" t="s">
        <v>513</v>
      </c>
      <c r="N25" s="351">
        <f>8*268</f>
        <v>2144</v>
      </c>
      <c r="O25" s="351"/>
      <c r="P25" s="208">
        <v>0.05</v>
      </c>
      <c r="Q25">
        <f t="shared" si="0"/>
        <v>107.2</v>
      </c>
      <c r="R25" s="217">
        <f t="shared" si="1"/>
        <v>2251.1999999999998</v>
      </c>
    </row>
    <row r="26" spans="13:23">
      <c r="M26" s="359" t="s">
        <v>514</v>
      </c>
      <c r="N26">
        <v>63</v>
      </c>
      <c r="P26" s="208">
        <v>0.01</v>
      </c>
      <c r="Q26">
        <f t="shared" si="0"/>
        <v>0.63</v>
      </c>
      <c r="R26" s="217">
        <f t="shared" si="1"/>
        <v>63.63</v>
      </c>
    </row>
    <row r="27" spans="13:23">
      <c r="M27" s="359" t="s">
        <v>515</v>
      </c>
      <c r="N27">
        <v>44</v>
      </c>
      <c r="P27" s="208"/>
      <c r="Q27">
        <f t="shared" si="0"/>
        <v>0</v>
      </c>
      <c r="R27" s="217">
        <f t="shared" si="1"/>
        <v>44</v>
      </c>
    </row>
    <row r="28" spans="13:23">
      <c r="M28" s="359" t="s">
        <v>181</v>
      </c>
      <c r="N28">
        <v>115</v>
      </c>
      <c r="R28" s="217">
        <f t="shared" si="1"/>
        <v>115</v>
      </c>
    </row>
    <row r="29" spans="13:23" ht="13.5" thickBot="1">
      <c r="M29" s="361"/>
      <c r="N29" s="362"/>
      <c r="O29" s="362"/>
      <c r="P29" s="362"/>
      <c r="Q29" s="362">
        <f>Q22+Q23+Q25++Q26+Q27</f>
        <v>111.535</v>
      </c>
      <c r="R29" s="363">
        <f>SUM(R22:R28)</f>
        <v>6118.0349999999999</v>
      </c>
    </row>
    <row r="30" spans="13:23">
      <c r="M30" s="1752" t="s">
        <v>525</v>
      </c>
      <c r="N30" s="1753"/>
      <c r="Q30" s="351" t="s">
        <v>528</v>
      </c>
      <c r="R30" s="1243">
        <f>N32/E79</f>
        <v>1600</v>
      </c>
      <c r="S30" s="381" t="s">
        <v>704</v>
      </c>
      <c r="T30" s="382"/>
      <c r="U30" s="382"/>
      <c r="V30" s="382"/>
      <c r="W30" s="382"/>
    </row>
    <row r="31" spans="13:23">
      <c r="M31" s="354" t="s">
        <v>526</v>
      </c>
      <c r="N31" s="354" t="s">
        <v>527</v>
      </c>
      <c r="Q31" s="351" t="s">
        <v>529</v>
      </c>
      <c r="R31" s="1320">
        <f>R29+R30</f>
        <v>7718.0349999999999</v>
      </c>
    </row>
    <row r="32" spans="13:23">
      <c r="M32" s="355">
        <v>8000000</v>
      </c>
      <c r="N32" s="355">
        <f>M32*12</f>
        <v>96000000</v>
      </c>
      <c r="Q32" s="351" t="s">
        <v>530</v>
      </c>
      <c r="R32" s="1319">
        <f>R31*1.7</f>
        <v>13120.6595</v>
      </c>
      <c r="S32" s="254">
        <v>13121</v>
      </c>
      <c r="T32" s="351" t="s">
        <v>531</v>
      </c>
    </row>
    <row r="34" spans="13:24">
      <c r="M34" s="351"/>
    </row>
    <row r="35" spans="13:24">
      <c r="O35" s="1751" t="s">
        <v>524</v>
      </c>
      <c r="P35" s="1613"/>
      <c r="Q35" s="1613"/>
      <c r="R35" s="1613"/>
      <c r="S35" s="1614"/>
    </row>
    <row r="36" spans="13:24">
      <c r="O36" s="354">
        <v>1</v>
      </c>
      <c r="P36" s="354">
        <v>2</v>
      </c>
      <c r="Q36" s="354">
        <v>3</v>
      </c>
      <c r="R36" s="354">
        <v>4</v>
      </c>
      <c r="S36" s="354">
        <v>5</v>
      </c>
    </row>
    <row r="37" spans="13:24">
      <c r="O37" s="355">
        <f>((M32/E79)+R29)*1.7</f>
        <v>10627.326166666666</v>
      </c>
      <c r="P37" s="355">
        <f>O37</f>
        <v>10627.326166666666</v>
      </c>
      <c r="Q37" s="355">
        <f>O37</f>
        <v>10627.326166666666</v>
      </c>
      <c r="R37" s="355">
        <f>O37</f>
        <v>10627.326166666666</v>
      </c>
      <c r="S37" s="355">
        <f>R37*0.95</f>
        <v>10095.959858333332</v>
      </c>
    </row>
    <row r="41" spans="13:24">
      <c r="M41" s="1751" t="s">
        <v>532</v>
      </c>
      <c r="N41" s="1754"/>
      <c r="O41" s="1754"/>
      <c r="P41" s="300"/>
      <c r="Q41" s="300"/>
      <c r="R41" s="300"/>
      <c r="S41" s="300"/>
      <c r="T41" s="300"/>
      <c r="U41" s="301"/>
    </row>
    <row r="42" spans="13:24">
      <c r="M42" s="1751" t="s">
        <v>533</v>
      </c>
      <c r="N42" s="1613"/>
      <c r="O42" s="1614"/>
    </row>
    <row r="43" spans="13:24">
      <c r="M43" s="354" t="s">
        <v>536</v>
      </c>
      <c r="N43" s="354" t="s">
        <v>537</v>
      </c>
      <c r="O43" s="354" t="s">
        <v>538</v>
      </c>
    </row>
    <row r="44" spans="13:24">
      <c r="M44" s="367">
        <v>1</v>
      </c>
      <c r="N44" s="355">
        <v>1500000</v>
      </c>
      <c r="O44" s="355">
        <f>N44*M44*1.45</f>
        <v>2175000</v>
      </c>
    </row>
    <row r="45" spans="13:24">
      <c r="M45" s="1751" t="s">
        <v>534</v>
      </c>
      <c r="N45" s="1613"/>
      <c r="O45" s="1614"/>
    </row>
    <row r="46" spans="13:24" ht="14.25">
      <c r="M46" s="354" t="s">
        <v>536</v>
      </c>
      <c r="N46" s="354" t="s">
        <v>537</v>
      </c>
      <c r="O46" s="354" t="s">
        <v>539</v>
      </c>
      <c r="U46" s="4" t="s">
        <v>706</v>
      </c>
      <c r="V46" s="547">
        <v>0.42</v>
      </c>
      <c r="W46" s="548" t="s">
        <v>707</v>
      </c>
    </row>
    <row r="47" spans="13:24">
      <c r="M47" s="367">
        <v>2</v>
      </c>
      <c r="N47" s="355">
        <v>400000</v>
      </c>
      <c r="O47" s="355">
        <f>M47*N47*1.45</f>
        <v>1160000</v>
      </c>
      <c r="U47" s="4" t="s">
        <v>148</v>
      </c>
      <c r="V47" s="4">
        <v>60</v>
      </c>
    </row>
    <row r="48" spans="13:24">
      <c r="M48" s="1751" t="s">
        <v>535</v>
      </c>
      <c r="N48" s="1613"/>
      <c r="O48" s="1614"/>
      <c r="U48" s="4" t="s">
        <v>708</v>
      </c>
      <c r="V48" s="3">
        <f>(1+(V46/(360/V47)))^(V49/V47)-1</f>
        <v>0.50073035184900005</v>
      </c>
      <c r="X48">
        <f>(1+0.07)^6</f>
        <v>1.5007303518490001</v>
      </c>
    </row>
    <row r="49" spans="6:25">
      <c r="G49" t="s">
        <v>713</v>
      </c>
      <c r="M49" s="354" t="s">
        <v>536</v>
      </c>
      <c r="N49" s="354" t="s">
        <v>537</v>
      </c>
      <c r="O49" s="354" t="s">
        <v>540</v>
      </c>
      <c r="U49" s="4" t="s">
        <v>709</v>
      </c>
      <c r="V49" s="4">
        <v>360</v>
      </c>
    </row>
    <row r="50" spans="6:25">
      <c r="G50" t="s">
        <v>714</v>
      </c>
      <c r="M50" s="367">
        <v>10</v>
      </c>
      <c r="N50" s="355">
        <v>300000</v>
      </c>
      <c r="O50" s="355">
        <f>M50*N50*1.45</f>
        <v>4350000</v>
      </c>
      <c r="U50" s="4"/>
      <c r="V50" s="4"/>
    </row>
    <row r="51" spans="6:25">
      <c r="G51" t="s">
        <v>715</v>
      </c>
      <c r="M51" s="1751" t="s">
        <v>541</v>
      </c>
      <c r="N51" s="1614"/>
      <c r="U51" s="4" t="s">
        <v>710</v>
      </c>
      <c r="V51" s="4">
        <v>3</v>
      </c>
    </row>
    <row r="52" spans="6:25">
      <c r="G52" t="s">
        <v>716</v>
      </c>
      <c r="M52" s="354" t="s">
        <v>526</v>
      </c>
      <c r="N52" s="354" t="s">
        <v>527</v>
      </c>
      <c r="U52" s="4" t="s">
        <v>483</v>
      </c>
      <c r="V52" s="549">
        <v>25000000</v>
      </c>
    </row>
    <row r="53" spans="6:25">
      <c r="M53" s="355">
        <f>O44+O47+O50</f>
        <v>7685000</v>
      </c>
      <c r="N53" s="355">
        <f>M53*13</f>
        <v>99905000</v>
      </c>
      <c r="O53" s="366" t="s">
        <v>542</v>
      </c>
      <c r="P53" s="364"/>
    </row>
    <row r="54" spans="6:25">
      <c r="G54" t="s">
        <v>717</v>
      </c>
    </row>
    <row r="55" spans="6:25" ht="15">
      <c r="G55">
        <f>2000000</f>
        <v>2000000</v>
      </c>
      <c r="U55" s="550" t="s">
        <v>386</v>
      </c>
      <c r="V55" s="1748" t="s">
        <v>711</v>
      </c>
      <c r="W55" s="1749"/>
      <c r="X55" s="1749"/>
      <c r="Y55" s="1750"/>
    </row>
    <row r="56" spans="6:25" ht="15.75" thickBot="1">
      <c r="F56" t="s">
        <v>718</v>
      </c>
      <c r="G56" s="254">
        <f>G55*0.3</f>
        <v>600000</v>
      </c>
      <c r="M56" s="1635" t="s">
        <v>547</v>
      </c>
      <c r="N56" s="1635"/>
      <c r="U56" s="551" t="s">
        <v>105</v>
      </c>
      <c r="V56" s="552" t="s">
        <v>483</v>
      </c>
      <c r="W56" s="552" t="s">
        <v>109</v>
      </c>
      <c r="X56" s="552" t="s">
        <v>102</v>
      </c>
      <c r="Y56" s="553" t="s">
        <v>107</v>
      </c>
    </row>
    <row r="57" spans="6:25" ht="15">
      <c r="G57" s="563" t="s">
        <v>728</v>
      </c>
      <c r="H57" s="564"/>
      <c r="N57" s="259" t="s">
        <v>0</v>
      </c>
      <c r="U57" s="554">
        <v>1</v>
      </c>
      <c r="V57" s="555">
        <f>+V52</f>
        <v>25000000</v>
      </c>
      <c r="W57" s="556">
        <f>Y57+X57</f>
        <v>20851592.129558336</v>
      </c>
      <c r="X57" s="555">
        <f>+V57*V48</f>
        <v>12518258.796225002</v>
      </c>
      <c r="Y57" s="557">
        <f>V52/3</f>
        <v>8333333.333333333</v>
      </c>
    </row>
    <row r="58" spans="6:25" ht="15">
      <c r="G58" s="565" t="s">
        <v>719</v>
      </c>
      <c r="H58" s="566"/>
      <c r="M58" s="21"/>
      <c r="N58" s="260">
        <v>0.42</v>
      </c>
      <c r="O58" s="261" t="s">
        <v>3</v>
      </c>
      <c r="P58" s="261" t="s">
        <v>3</v>
      </c>
      <c r="U58" s="554">
        <v>2</v>
      </c>
      <c r="V58" s="558">
        <f>+V57-Y57</f>
        <v>16666666.666666668</v>
      </c>
      <c r="W58" s="556">
        <f>Y58+X58</f>
        <v>16678839.197483335</v>
      </c>
      <c r="X58" s="555">
        <f>+V58*V48</f>
        <v>8345505.8641500017</v>
      </c>
      <c r="Y58" s="557">
        <f>V52/3</f>
        <v>8333333.333333333</v>
      </c>
    </row>
    <row r="59" spans="6:25" ht="15">
      <c r="G59" s="565" t="s">
        <v>720</v>
      </c>
      <c r="H59" s="566"/>
      <c r="M59" s="21"/>
      <c r="N59" s="23" t="s">
        <v>3</v>
      </c>
      <c r="O59" s="261">
        <f>(1+N58/6)^6</f>
        <v>1.5007303518490001</v>
      </c>
      <c r="P59" s="266">
        <f>O59-1</f>
        <v>0.50073035184900005</v>
      </c>
      <c r="U59" s="559">
        <v>3</v>
      </c>
      <c r="V59" s="560">
        <f>+V58-Y58</f>
        <v>8333333.3333333349</v>
      </c>
      <c r="W59" s="556">
        <f>Y59+X59</f>
        <v>12506086.265408333</v>
      </c>
      <c r="X59" s="561">
        <f>+V59*V48</f>
        <v>4172752.9320750013</v>
      </c>
      <c r="Y59" s="557">
        <f>V52/3</f>
        <v>8333333.333333333</v>
      </c>
    </row>
    <row r="60" spans="6:25">
      <c r="G60" s="565" t="s">
        <v>721</v>
      </c>
      <c r="H60" s="566"/>
      <c r="M60" s="21"/>
      <c r="N60" s="23"/>
    </row>
    <row r="61" spans="6:25">
      <c r="G61" s="565">
        <f>400000-160000</f>
        <v>240000</v>
      </c>
      <c r="H61" s="566"/>
      <c r="M61" s="21"/>
      <c r="N61" s="39"/>
    </row>
    <row r="62" spans="6:25">
      <c r="G62" s="565" t="s">
        <v>722</v>
      </c>
      <c r="H62" s="566"/>
      <c r="M62" s="21"/>
      <c r="N62" s="23"/>
    </row>
    <row r="63" spans="6:25">
      <c r="G63" s="565">
        <f>G61-40000-40000</f>
        <v>160000</v>
      </c>
      <c r="H63" s="566" t="s">
        <v>723</v>
      </c>
    </row>
    <row r="64" spans="6:25" ht="13.5" thickBot="1">
      <c r="G64" s="567" t="s">
        <v>724</v>
      </c>
      <c r="H64" s="568"/>
      <c r="M64" s="1615" t="s">
        <v>103</v>
      </c>
      <c r="N64" s="1613"/>
      <c r="O64" s="1613"/>
      <c r="P64" s="1613"/>
      <c r="Q64" s="1614"/>
      <c r="S64" s="351"/>
    </row>
    <row r="65" spans="3:22">
      <c r="M65" s="24" t="s">
        <v>105</v>
      </c>
      <c r="N65" s="24" t="s">
        <v>106</v>
      </c>
      <c r="O65" s="24" t="s">
        <v>102</v>
      </c>
      <c r="P65" s="24" t="s">
        <v>134</v>
      </c>
      <c r="Q65" s="24" t="s">
        <v>107</v>
      </c>
    </row>
    <row r="66" spans="3:22">
      <c r="G66" s="265" t="s">
        <v>727</v>
      </c>
      <c r="H66" s="265"/>
      <c r="M66" s="25"/>
      <c r="N66" s="26"/>
      <c r="O66" s="26"/>
      <c r="P66" s="26"/>
      <c r="Q66" s="26">
        <v>25000000</v>
      </c>
    </row>
    <row r="67" spans="3:22">
      <c r="G67" s="265" t="s">
        <v>729</v>
      </c>
      <c r="H67" s="265"/>
      <c r="M67" s="25">
        <v>1</v>
      </c>
      <c r="N67" s="26">
        <f>P59*Q66/(1-(1+P59)^-3)</f>
        <v>17778181.073791459</v>
      </c>
      <c r="O67" s="26">
        <f>Q66*P59</f>
        <v>12518258.796225002</v>
      </c>
      <c r="P67" s="26">
        <f>N67-O67</f>
        <v>5259922.2775664572</v>
      </c>
      <c r="Q67" s="26">
        <f>Q66-P67</f>
        <v>19740077.722433545</v>
      </c>
    </row>
    <row r="68" spans="3:22">
      <c r="G68" s="265" t="s">
        <v>730</v>
      </c>
      <c r="H68" s="265"/>
      <c r="M68" s="25">
        <v>2</v>
      </c>
      <c r="N68" s="26">
        <f>P59*Q66/(1-(1+P59)^-3)</f>
        <v>17778181.073791459</v>
      </c>
      <c r="O68" s="26">
        <f>Q67*P59</f>
        <v>9884456.0634807572</v>
      </c>
      <c r="P68" s="26">
        <f>N68-O68</f>
        <v>7893725.010310702</v>
      </c>
      <c r="Q68" s="26">
        <f>Q67-P68</f>
        <v>11846352.712122843</v>
      </c>
    </row>
    <row r="69" spans="3:22">
      <c r="G69" s="265" t="s">
        <v>731</v>
      </c>
      <c r="H69" s="265"/>
      <c r="M69" s="25">
        <v>3</v>
      </c>
      <c r="N69" s="26">
        <f>P59*Q66/(1-(1+P59)^-3)</f>
        <v>17778181.073791459</v>
      </c>
      <c r="O69" s="26">
        <f>P59*Q68</f>
        <v>5931828.3616686268</v>
      </c>
      <c r="P69" s="26">
        <f>N69-O69</f>
        <v>11846352.712122831</v>
      </c>
      <c r="Q69" s="26">
        <f>Q68-P69</f>
        <v>0</v>
      </c>
    </row>
    <row r="70" spans="3:22">
      <c r="G70" s="265" t="s">
        <v>732</v>
      </c>
      <c r="H70" s="265"/>
      <c r="M70" s="25"/>
      <c r="N70" s="26"/>
      <c r="O70" s="26"/>
      <c r="P70" s="26"/>
      <c r="Q70" s="26"/>
    </row>
    <row r="71" spans="3:22">
      <c r="G71" s="265" t="s">
        <v>733</v>
      </c>
      <c r="H71" s="265"/>
      <c r="M71" s="25"/>
      <c r="N71" s="26"/>
      <c r="O71" s="26"/>
      <c r="P71" s="26"/>
      <c r="Q71" s="26"/>
    </row>
    <row r="72" spans="3:22">
      <c r="G72" s="265" t="s">
        <v>734</v>
      </c>
      <c r="H72" s="265"/>
      <c r="M72" s="1615" t="s">
        <v>108</v>
      </c>
      <c r="N72" s="1613"/>
      <c r="O72" s="1613"/>
      <c r="P72" s="1613"/>
      <c r="Q72" s="1613"/>
    </row>
    <row r="73" spans="3:22">
      <c r="G73" s="265"/>
      <c r="H73" s="265"/>
      <c r="M73" s="24" t="s">
        <v>105</v>
      </c>
      <c r="N73" s="24" t="s">
        <v>109</v>
      </c>
      <c r="O73" s="24" t="s">
        <v>102</v>
      </c>
      <c r="P73" s="24" t="s">
        <v>110</v>
      </c>
      <c r="Q73" s="212" t="s">
        <v>107</v>
      </c>
    </row>
    <row r="74" spans="3:22" ht="13.5" customHeight="1">
      <c r="G74" s="265"/>
      <c r="H74" s="265"/>
      <c r="M74" s="25">
        <v>0</v>
      </c>
      <c r="N74" s="26"/>
      <c r="O74" s="26"/>
      <c r="P74" s="26"/>
      <c r="Q74" s="26">
        <v>25000000</v>
      </c>
    </row>
    <row r="75" spans="3:22">
      <c r="M75" s="25">
        <v>1</v>
      </c>
      <c r="N75" s="26">
        <f>O75+P75</f>
        <v>20851592.129558336</v>
      </c>
      <c r="O75" s="26">
        <f>Q74*P59</f>
        <v>12518258.796225002</v>
      </c>
      <c r="P75" s="26">
        <f>Q74/3</f>
        <v>8333333.333333333</v>
      </c>
      <c r="Q75" s="211">
        <f>Q74-P75</f>
        <v>16666666.666666668</v>
      </c>
    </row>
    <row r="76" spans="3:22">
      <c r="M76" s="25">
        <v>2</v>
      </c>
      <c r="N76" s="26">
        <f>O76+P76</f>
        <v>16678839.197483335</v>
      </c>
      <c r="O76" s="26">
        <f>Q75*P59</f>
        <v>8345505.8641500017</v>
      </c>
      <c r="P76" s="26">
        <f>Q74/3</f>
        <v>8333333.333333333</v>
      </c>
      <c r="Q76" s="211">
        <f>Q75-P76</f>
        <v>8333333.3333333349</v>
      </c>
    </row>
    <row r="77" spans="3:22">
      <c r="H77" s="254"/>
      <c r="M77" s="25">
        <v>3</v>
      </c>
      <c r="N77" s="26">
        <f>O77+P77</f>
        <v>12506086.265408333</v>
      </c>
      <c r="O77" s="26">
        <f>Q76*P59</f>
        <v>4172752.9320750013</v>
      </c>
      <c r="P77" s="26">
        <f>Q74/3</f>
        <v>8333333.333333333</v>
      </c>
      <c r="Q77" s="211">
        <f>Q76-P77</f>
        <v>0</v>
      </c>
    </row>
    <row r="79" spans="3:22">
      <c r="C79" s="272" t="s">
        <v>365</v>
      </c>
      <c r="D79" s="25"/>
      <c r="E79" s="25">
        <v>60000</v>
      </c>
      <c r="F79" s="25">
        <v>95000</v>
      </c>
      <c r="G79" s="25">
        <v>150000</v>
      </c>
      <c r="H79" s="25">
        <v>190000</v>
      </c>
      <c r="I79" s="25">
        <v>190000</v>
      </c>
      <c r="P79" s="4"/>
      <c r="Q79" s="4"/>
      <c r="R79" s="4"/>
      <c r="S79" s="4"/>
      <c r="T79" s="4"/>
      <c r="U79" s="4"/>
      <c r="V79" s="4"/>
    </row>
    <row r="80" spans="3:22">
      <c r="C80" s="27" t="s">
        <v>361</v>
      </c>
      <c r="D80" s="27" t="s">
        <v>112</v>
      </c>
      <c r="E80" s="27" t="s">
        <v>113</v>
      </c>
      <c r="F80" s="27" t="s">
        <v>114</v>
      </c>
      <c r="G80" s="27" t="s">
        <v>115</v>
      </c>
      <c r="H80" s="27" t="s">
        <v>116</v>
      </c>
      <c r="I80" s="27" t="s">
        <v>117</v>
      </c>
      <c r="P80" s="724"/>
      <c r="Q80" s="724"/>
      <c r="R80" s="724"/>
      <c r="S80" s="724"/>
      <c r="T80" s="724"/>
      <c r="U80" s="724"/>
      <c r="V80" s="724"/>
    </row>
    <row r="81" spans="3:22">
      <c r="C81" s="269" t="s">
        <v>118</v>
      </c>
      <c r="D81" s="270"/>
      <c r="E81" s="270"/>
      <c r="F81" s="270"/>
      <c r="G81" s="270"/>
      <c r="H81" s="270"/>
      <c r="I81" s="270"/>
      <c r="P81" s="725"/>
      <c r="Q81" s="5"/>
      <c r="R81" s="5"/>
      <c r="S81" s="5"/>
      <c r="T81" s="5"/>
      <c r="U81" s="5"/>
      <c r="V81" s="5"/>
    </row>
    <row r="82" spans="3:22">
      <c r="C82" s="25" t="s">
        <v>356</v>
      </c>
      <c r="D82" s="26"/>
      <c r="E82" s="26">
        <f>E79*$R$32</f>
        <v>787239570</v>
      </c>
      <c r="F82" s="26">
        <f>F79*$R$32</f>
        <v>1246462652.5</v>
      </c>
      <c r="G82" s="26">
        <f>G79*$R$32</f>
        <v>1968098925</v>
      </c>
      <c r="H82" s="26">
        <f>H79*$R$32</f>
        <v>2492925305</v>
      </c>
      <c r="I82" s="26">
        <f>I79*$R$32*0.95</f>
        <v>2368279039.75</v>
      </c>
      <c r="P82" s="4"/>
      <c r="Q82" s="5"/>
      <c r="R82" s="5"/>
      <c r="S82" s="5"/>
      <c r="T82" s="5"/>
      <c r="U82" s="5"/>
      <c r="V82" s="5"/>
    </row>
    <row r="83" spans="3:22">
      <c r="C83" s="25" t="s">
        <v>119</v>
      </c>
      <c r="D83" s="26"/>
      <c r="E83" s="26"/>
      <c r="F83" s="26"/>
      <c r="G83" s="26"/>
      <c r="H83" s="26"/>
      <c r="I83" s="26"/>
      <c r="P83" s="4"/>
      <c r="Q83" s="5"/>
      <c r="R83" s="5"/>
      <c r="S83" s="5"/>
      <c r="T83" s="5"/>
      <c r="U83" s="5"/>
      <c r="V83" s="5"/>
    </row>
    <row r="84" spans="3:22">
      <c r="C84" s="25" t="s">
        <v>332</v>
      </c>
      <c r="D84" s="26"/>
      <c r="E84" s="26"/>
      <c r="F84" s="26"/>
      <c r="G84" s="26"/>
      <c r="H84" s="26"/>
      <c r="I84" s="26">
        <f>G56</f>
        <v>600000</v>
      </c>
      <c r="P84" s="4"/>
      <c r="Q84" s="5"/>
      <c r="R84" s="5"/>
      <c r="S84" s="5"/>
      <c r="T84" s="5"/>
      <c r="U84" s="5"/>
      <c r="V84" s="5"/>
    </row>
    <row r="85" spans="3:22">
      <c r="C85" s="25" t="s">
        <v>447</v>
      </c>
      <c r="D85" s="26"/>
      <c r="E85" s="26"/>
      <c r="F85" s="26"/>
      <c r="G85" s="26"/>
      <c r="H85" s="26"/>
      <c r="I85" s="280"/>
      <c r="P85" s="4"/>
      <c r="Q85" s="5"/>
      <c r="R85" s="5"/>
      <c r="S85" s="5"/>
      <c r="T85" s="5"/>
      <c r="U85" s="5"/>
      <c r="V85" s="5"/>
    </row>
    <row r="86" spans="3:22">
      <c r="C86" s="269" t="s">
        <v>121</v>
      </c>
      <c r="D86" s="270"/>
      <c r="E86" s="270"/>
      <c r="F86" s="270"/>
      <c r="G86" s="270"/>
      <c r="H86" s="270"/>
      <c r="I86" s="270"/>
      <c r="P86" s="725"/>
      <c r="Q86" s="5"/>
      <c r="R86" s="5"/>
      <c r="S86" s="5"/>
      <c r="T86" s="5"/>
      <c r="U86" s="5"/>
      <c r="V86" s="5"/>
    </row>
    <row r="87" spans="3:22">
      <c r="C87" s="25" t="s">
        <v>122</v>
      </c>
      <c r="D87" s="26"/>
      <c r="E87" s="26">
        <f>-X57</f>
        <v>-12518258.796225002</v>
      </c>
      <c r="F87" s="26">
        <f>-X58</f>
        <v>-8345505.8641500017</v>
      </c>
      <c r="G87" s="26">
        <f>-X59</f>
        <v>-4172752.9320750013</v>
      </c>
      <c r="H87" s="26"/>
      <c r="I87" s="26"/>
      <c r="P87" s="4"/>
      <c r="Q87" s="5"/>
      <c r="R87" s="5"/>
      <c r="S87" s="5"/>
      <c r="T87" s="5"/>
      <c r="U87" s="5"/>
      <c r="V87" s="5"/>
    </row>
    <row r="88" spans="3:22">
      <c r="C88" s="47" t="s">
        <v>544</v>
      </c>
      <c r="D88" s="26"/>
      <c r="E88" s="26">
        <f>-E82*0.03</f>
        <v>-23617187.099999998</v>
      </c>
      <c r="F88" s="26">
        <f>-F82*0.03</f>
        <v>-37393879.574999996</v>
      </c>
      <c r="G88" s="26">
        <f>-G82*0.03</f>
        <v>-59042967.75</v>
      </c>
      <c r="H88" s="26">
        <f>-H82*0.03</f>
        <v>-74787759.149999991</v>
      </c>
      <c r="I88" s="26">
        <f>-I82*0.03</f>
        <v>-71048371.192499995</v>
      </c>
      <c r="P88" s="4"/>
      <c r="Q88" s="5"/>
      <c r="R88" s="5"/>
      <c r="S88" s="5"/>
      <c r="T88" s="5"/>
      <c r="U88" s="5"/>
      <c r="V88" s="5"/>
    </row>
    <row r="89" spans="3:22">
      <c r="C89" s="47" t="s">
        <v>545</v>
      </c>
      <c r="D89" s="26"/>
      <c r="E89" s="26">
        <f>-E82*0.01</f>
        <v>-7872395.7000000002</v>
      </c>
      <c r="F89" s="26">
        <f>-F82*0.01</f>
        <v>-12464626.525</v>
      </c>
      <c r="G89" s="26">
        <f>-G82*0.01</f>
        <v>-19680989.25</v>
      </c>
      <c r="H89" s="26">
        <f>-H82*0.01</f>
        <v>-24929253.050000001</v>
      </c>
      <c r="I89" s="26">
        <f>-I82*0.01</f>
        <v>-23682790.397500001</v>
      </c>
      <c r="P89" s="4"/>
      <c r="Q89" s="5"/>
      <c r="R89" s="5"/>
      <c r="S89" s="5"/>
      <c r="T89" s="5"/>
      <c r="U89" s="5"/>
      <c r="V89" s="5"/>
    </row>
    <row r="90" spans="3:22" ht="15.75" customHeight="1">
      <c r="C90" s="287" t="s">
        <v>546</v>
      </c>
      <c r="D90" s="26"/>
      <c r="E90" s="26">
        <f>-E79*$R$29</f>
        <v>-367082100</v>
      </c>
      <c r="F90" s="26">
        <f>-F79*$R$29</f>
        <v>-581213325</v>
      </c>
      <c r="G90" s="26">
        <f>-G79*$R$29</f>
        <v>-917705250</v>
      </c>
      <c r="H90" s="26">
        <f>-H79*$R$29</f>
        <v>-1162426650</v>
      </c>
      <c r="I90" s="26">
        <f>-I79*$R$29</f>
        <v>-1162426650</v>
      </c>
      <c r="P90" s="4"/>
      <c r="Q90" s="5"/>
      <c r="R90" s="5"/>
      <c r="S90" s="5"/>
      <c r="T90" s="5"/>
      <c r="U90" s="5"/>
      <c r="V90" s="5"/>
    </row>
    <row r="91" spans="3:22" ht="15.75" customHeight="1">
      <c r="C91" s="199" t="s">
        <v>737</v>
      </c>
      <c r="D91" s="26"/>
      <c r="E91" s="26"/>
      <c r="F91" s="26"/>
      <c r="G91" s="26"/>
      <c r="H91" s="26"/>
      <c r="I91" s="26"/>
      <c r="P91" s="4"/>
      <c r="Q91" s="5"/>
      <c r="R91" s="5"/>
      <c r="S91" s="5"/>
      <c r="T91" s="5"/>
      <c r="U91" s="5"/>
      <c r="V91" s="5"/>
    </row>
    <row r="92" spans="3:22" ht="15.75" customHeight="1">
      <c r="C92" s="199"/>
      <c r="D92" s="26"/>
      <c r="E92" s="26"/>
      <c r="F92" s="26"/>
      <c r="G92" s="26"/>
      <c r="H92" s="26"/>
      <c r="I92" s="26"/>
      <c r="P92" s="4"/>
      <c r="Q92" s="5"/>
      <c r="R92" s="5"/>
      <c r="S92" s="5"/>
      <c r="T92" s="5"/>
      <c r="U92" s="5"/>
      <c r="V92" s="5"/>
    </row>
    <row r="93" spans="3:22" ht="15.75" customHeight="1">
      <c r="C93" s="199"/>
      <c r="D93" s="26"/>
      <c r="E93" s="26"/>
      <c r="F93" s="26"/>
      <c r="G93" s="26"/>
      <c r="H93" s="26"/>
      <c r="I93" s="26"/>
      <c r="P93" s="4"/>
      <c r="Q93" s="5"/>
      <c r="R93" s="5"/>
      <c r="S93" s="5"/>
      <c r="T93" s="5"/>
      <c r="U93" s="5"/>
      <c r="V93" s="5"/>
    </row>
    <row r="94" spans="3:22" ht="15.75" customHeight="1">
      <c r="C94" s="199" t="s">
        <v>518</v>
      </c>
      <c r="D94" s="26"/>
      <c r="E94" s="26">
        <f>-8000000*12</f>
        <v>-96000000</v>
      </c>
      <c r="F94" s="26">
        <f>-8000000*12</f>
        <v>-96000000</v>
      </c>
      <c r="G94" s="26">
        <f>-8000000*12</f>
        <v>-96000000</v>
      </c>
      <c r="H94" s="26">
        <f>-8000000*12</f>
        <v>-96000000</v>
      </c>
      <c r="I94" s="26">
        <f>-8000000*12</f>
        <v>-96000000</v>
      </c>
      <c r="P94" s="4"/>
      <c r="Q94" s="5"/>
      <c r="R94" s="5"/>
      <c r="S94" s="5"/>
      <c r="T94" s="5"/>
      <c r="U94" s="5"/>
      <c r="V94" s="5"/>
    </row>
    <row r="95" spans="3:22" ht="15.75" customHeight="1">
      <c r="C95" s="199" t="s">
        <v>478</v>
      </c>
      <c r="D95" s="26"/>
      <c r="E95" s="26">
        <f>-$N$53</f>
        <v>-99905000</v>
      </c>
      <c r="F95" s="26">
        <f>-$N$53</f>
        <v>-99905000</v>
      </c>
      <c r="G95" s="26">
        <f>-$N$53</f>
        <v>-99905000</v>
      </c>
      <c r="H95" s="26">
        <f>-$N$53</f>
        <v>-99905000</v>
      </c>
      <c r="I95" s="26">
        <f>-$N$53</f>
        <v>-99905000</v>
      </c>
      <c r="P95" s="4"/>
      <c r="Q95" s="5"/>
      <c r="R95" s="5"/>
      <c r="S95" s="5"/>
      <c r="T95" s="5"/>
      <c r="U95" s="5"/>
      <c r="V95" s="5"/>
    </row>
    <row r="96" spans="3:22" ht="15.75" customHeight="1">
      <c r="C96" s="199" t="s">
        <v>543</v>
      </c>
      <c r="D96" s="26"/>
      <c r="E96" s="26">
        <f>-0.01*(E82+E88+E89)</f>
        <v>-7557499.8719999995</v>
      </c>
      <c r="F96" s="26">
        <f>-0.01*(F82+F88+F89)</f>
        <v>-11966041.464</v>
      </c>
      <c r="G96" s="26">
        <f>-0.01*(G82+G88+G89)</f>
        <v>-18893749.68</v>
      </c>
      <c r="H96" s="26">
        <f>-0.01*(H82+H88+H89)</f>
        <v>-23932082.927999999</v>
      </c>
      <c r="I96" s="26">
        <f>-0.01*(I82+I88+I89)</f>
        <v>-22735478.781599998</v>
      </c>
      <c r="P96" s="4"/>
      <c r="Q96" s="5"/>
      <c r="R96" s="5"/>
      <c r="S96" s="5"/>
      <c r="T96" s="5"/>
      <c r="U96" s="5"/>
      <c r="V96" s="5"/>
    </row>
    <row r="97" spans="3:22" ht="15.75" customHeight="1">
      <c r="C97" s="199"/>
      <c r="D97" s="26"/>
      <c r="E97" s="26"/>
      <c r="F97" s="26"/>
      <c r="G97" s="26"/>
      <c r="H97" s="26"/>
      <c r="I97" s="26"/>
      <c r="P97" s="4"/>
      <c r="Q97" s="5"/>
      <c r="R97" s="5"/>
      <c r="S97" s="5"/>
      <c r="T97" s="5"/>
      <c r="U97" s="5"/>
      <c r="V97" s="5"/>
    </row>
    <row r="98" spans="3:22">
      <c r="C98" s="267" t="s">
        <v>125</v>
      </c>
      <c r="D98" s="268"/>
      <c r="E98" s="268"/>
      <c r="F98" s="268"/>
      <c r="G98" s="268"/>
      <c r="H98" s="268"/>
      <c r="I98" s="268"/>
      <c r="P98" s="725"/>
      <c r="Q98" s="5"/>
      <c r="R98" s="5"/>
      <c r="S98" s="5"/>
      <c r="T98" s="5"/>
      <c r="U98" s="5"/>
      <c r="V98" s="5"/>
    </row>
    <row r="99" spans="3:22">
      <c r="C99" s="25" t="s">
        <v>735</v>
      </c>
      <c r="D99" s="26"/>
      <c r="E99" s="1576">
        <v>-160000</v>
      </c>
      <c r="F99" s="1576">
        <v>-160000</v>
      </c>
      <c r="G99" s="1576">
        <v>-160000</v>
      </c>
      <c r="H99" s="1576">
        <v>-160000</v>
      </c>
      <c r="I99" s="1576">
        <v>0</v>
      </c>
      <c r="J99" s="1746"/>
      <c r="K99" s="1747"/>
      <c r="L99" s="1747"/>
      <c r="M99" s="1747"/>
      <c r="P99" s="4"/>
      <c r="Q99" s="5"/>
      <c r="R99" s="5"/>
      <c r="S99" s="5"/>
      <c r="T99" s="5"/>
      <c r="U99" s="5"/>
      <c r="V99" s="5"/>
    </row>
    <row r="100" spans="3:22">
      <c r="C100" s="25" t="s">
        <v>726</v>
      </c>
      <c r="D100" s="26"/>
      <c r="E100" s="1576">
        <v>-40000</v>
      </c>
      <c r="F100" s="1576">
        <v>-40000</v>
      </c>
      <c r="G100" s="1576"/>
      <c r="H100" s="1576"/>
      <c r="I100" s="1576"/>
      <c r="P100" s="4"/>
      <c r="Q100" s="5"/>
      <c r="R100" s="5"/>
      <c r="S100" s="5"/>
      <c r="T100" s="5"/>
      <c r="U100" s="5"/>
      <c r="V100" s="5"/>
    </row>
    <row r="101" spans="3:22">
      <c r="C101" s="25" t="s">
        <v>738</v>
      </c>
      <c r="D101" s="26"/>
      <c r="E101" s="1576">
        <f>$D$112/10</f>
        <v>-4338842.9752066117</v>
      </c>
      <c r="F101" s="1576">
        <f>$D$112/10</f>
        <v>-4338842.9752066117</v>
      </c>
      <c r="G101" s="1576">
        <f>$D$112/10</f>
        <v>-4338842.9752066117</v>
      </c>
      <c r="H101" s="1576">
        <f>$D$112/10</f>
        <v>-4338842.9752066117</v>
      </c>
      <c r="I101" s="1576">
        <f>$D$112/10</f>
        <v>-4338842.9752066117</v>
      </c>
      <c r="P101" s="4"/>
      <c r="Q101" s="5"/>
      <c r="R101" s="5"/>
      <c r="S101" s="5"/>
      <c r="T101" s="5"/>
      <c r="U101" s="5"/>
      <c r="V101" s="5"/>
    </row>
    <row r="102" spans="3:22">
      <c r="C102" s="25" t="s">
        <v>736</v>
      </c>
      <c r="D102" s="26"/>
      <c r="E102" s="1576"/>
      <c r="F102" s="1576"/>
      <c r="G102" s="1576"/>
      <c r="H102" s="1576"/>
      <c r="I102" s="1576">
        <v>0</v>
      </c>
      <c r="P102" s="4"/>
      <c r="Q102" s="5"/>
      <c r="R102" s="5"/>
      <c r="S102" s="5"/>
      <c r="T102" s="5"/>
      <c r="U102" s="5"/>
      <c r="V102" s="5"/>
    </row>
    <row r="103" spans="3:22">
      <c r="C103" s="25" t="s">
        <v>725</v>
      </c>
      <c r="D103" s="26"/>
      <c r="E103" s="1576"/>
      <c r="F103" s="1576">
        <f>F100*2</f>
        <v>-80000</v>
      </c>
      <c r="G103" s="1576"/>
      <c r="H103" s="1576"/>
      <c r="I103" s="1577"/>
      <c r="P103" s="4"/>
      <c r="Q103" s="5"/>
      <c r="R103" s="5"/>
      <c r="S103" s="5"/>
      <c r="T103" s="5"/>
      <c r="U103" s="5"/>
      <c r="V103" s="5"/>
    </row>
    <row r="104" spans="3:22">
      <c r="C104" s="25" t="s">
        <v>739</v>
      </c>
      <c r="D104" s="26"/>
      <c r="E104" s="1576"/>
      <c r="F104" s="1576"/>
      <c r="G104" s="1576"/>
      <c r="H104" s="1576"/>
      <c r="I104" s="1576">
        <f>E101*5</f>
        <v>-21694214.87603306</v>
      </c>
      <c r="P104" s="4"/>
      <c r="Q104" s="5"/>
      <c r="R104" s="5"/>
      <c r="S104" s="5"/>
      <c r="T104" s="5"/>
      <c r="U104" s="5"/>
      <c r="V104" s="5"/>
    </row>
    <row r="105" spans="3:22" ht="14.25">
      <c r="C105" s="31" t="s">
        <v>130</v>
      </c>
      <c r="D105" s="32"/>
      <c r="E105" s="32">
        <f>SUM(E81:E103)</f>
        <v>168148285.55656835</v>
      </c>
      <c r="F105" s="32">
        <f>SUM(F81:F103)</f>
        <v>394555431.09664321</v>
      </c>
      <c r="G105" s="32">
        <f>SUM(G81:G103)</f>
        <v>748199372.41271842</v>
      </c>
      <c r="H105" s="32">
        <f>SUM(H81:H103)</f>
        <v>1006445716.8967931</v>
      </c>
      <c r="I105" s="32">
        <f>SUM(I81:I104)</f>
        <v>867047691.52716017</v>
      </c>
      <c r="P105" s="726"/>
      <c r="Q105" s="5"/>
      <c r="R105" s="5"/>
      <c r="S105" s="5"/>
      <c r="T105" s="5"/>
      <c r="U105" s="5"/>
      <c r="V105" s="5"/>
    </row>
    <row r="106" spans="3:22">
      <c r="C106" s="33" t="s">
        <v>349</v>
      </c>
      <c r="D106" s="26"/>
      <c r="E106" s="26">
        <f>E105*0.35</f>
        <v>58851899.944798917</v>
      </c>
      <c r="F106" s="26">
        <f>F105*0.35</f>
        <v>138094400.88382512</v>
      </c>
      <c r="G106" s="26">
        <f>G105*0.35</f>
        <v>261869780.34445143</v>
      </c>
      <c r="H106" s="26">
        <f>H105*0.35</f>
        <v>352256000.91387755</v>
      </c>
      <c r="I106" s="26">
        <f>I105*0.35</f>
        <v>303466692.03450602</v>
      </c>
      <c r="P106" s="727"/>
      <c r="Q106" s="5"/>
      <c r="R106" s="5"/>
      <c r="S106" s="5"/>
      <c r="T106" s="5"/>
      <c r="U106" s="5"/>
      <c r="V106" s="5"/>
    </row>
    <row r="107" spans="3:22" ht="28.5">
      <c r="C107" s="34" t="s">
        <v>132</v>
      </c>
      <c r="D107" s="35"/>
      <c r="E107" s="35">
        <f>E105-E106</f>
        <v>109296385.61176944</v>
      </c>
      <c r="F107" s="35">
        <f>F105-F106</f>
        <v>256461030.21281809</v>
      </c>
      <c r="G107" s="35">
        <f>G105-G106</f>
        <v>486329592.06826699</v>
      </c>
      <c r="H107" s="35">
        <f>H105-H106</f>
        <v>654189715.98291564</v>
      </c>
      <c r="I107" s="35">
        <f>I105-I106</f>
        <v>563580999.49265409</v>
      </c>
      <c r="P107" s="728"/>
      <c r="Q107" s="5"/>
      <c r="R107" s="5"/>
      <c r="S107" s="5"/>
      <c r="T107" s="5"/>
      <c r="U107" s="5"/>
      <c r="V107" s="5"/>
    </row>
    <row r="108" spans="3:22">
      <c r="C108" s="33" t="s">
        <v>133</v>
      </c>
      <c r="D108" s="26"/>
      <c r="E108" s="26">
        <f>SUM(E99:E104)*-1</f>
        <v>4538842.9752066117</v>
      </c>
      <c r="F108" s="26">
        <f>SUM(F99:F104)*-1</f>
        <v>4618842.9752066117</v>
      </c>
      <c r="G108" s="26">
        <f>SUM(G99:G104)*-1</f>
        <v>4498842.9752066117</v>
      </c>
      <c r="H108" s="26">
        <f>SUM(H99:H104)*-1</f>
        <v>4498842.9752066117</v>
      </c>
      <c r="I108" s="26">
        <f>SUM(I99:I104)*-1</f>
        <v>26033057.851239674</v>
      </c>
      <c r="P108" s="727"/>
      <c r="Q108" s="5"/>
      <c r="R108" s="5"/>
      <c r="S108" s="5"/>
      <c r="T108" s="5"/>
      <c r="U108" s="5"/>
      <c r="V108" s="5"/>
    </row>
    <row r="109" spans="3:22" ht="26.25">
      <c r="C109" s="33" t="s">
        <v>712</v>
      </c>
      <c r="D109" s="562">
        <v>-34161008.845333338</v>
      </c>
      <c r="E109" s="562">
        <v>-19927255.159777779</v>
      </c>
      <c r="F109" s="562">
        <v>-31314258.108222224</v>
      </c>
      <c r="G109" s="562">
        <v>-22774005.896888886</v>
      </c>
      <c r="H109" s="26"/>
      <c r="I109" s="26"/>
      <c r="J109" s="1222" t="s">
        <v>1524</v>
      </c>
      <c r="K109" s="259"/>
      <c r="L109" s="259"/>
      <c r="M109" s="259"/>
      <c r="P109" s="729"/>
      <c r="Q109" s="5"/>
      <c r="R109" s="5"/>
      <c r="S109" s="5"/>
      <c r="T109" s="5"/>
      <c r="U109" s="5"/>
    </row>
    <row r="110" spans="3:22">
      <c r="C110" s="25" t="s">
        <v>134</v>
      </c>
      <c r="D110" s="26"/>
      <c r="E110" s="26">
        <f>-Y57</f>
        <v>-8333333.333333333</v>
      </c>
      <c r="F110" s="26">
        <f>-Y58</f>
        <v>-8333333.333333333</v>
      </c>
      <c r="G110" s="26">
        <f>-Y59</f>
        <v>-8333333.333333333</v>
      </c>
      <c r="H110" s="26"/>
      <c r="I110" s="26"/>
      <c r="J110" s="380">
        <v>-33586007.693333343</v>
      </c>
      <c r="K110" s="380">
        <v>-19591837.821111113</v>
      </c>
      <c r="L110" s="380">
        <v>-30787173.718888897</v>
      </c>
      <c r="M110" s="380">
        <v>-22390671.795555554</v>
      </c>
      <c r="P110" s="4"/>
      <c r="R110" s="5"/>
      <c r="S110" s="5"/>
      <c r="T110" s="5"/>
      <c r="U110" s="5"/>
      <c r="V110" s="5"/>
    </row>
    <row r="111" spans="3:22">
      <c r="C111" s="25" t="s">
        <v>135</v>
      </c>
      <c r="D111" s="26">
        <v>25000000</v>
      </c>
      <c r="E111" s="26"/>
      <c r="F111" s="26"/>
      <c r="G111" s="26"/>
      <c r="H111" s="26"/>
      <c r="I111" s="26"/>
      <c r="P111" s="193"/>
      <c r="R111" s="5"/>
      <c r="S111" s="5"/>
      <c r="T111" s="5"/>
      <c r="U111" s="5"/>
      <c r="V111" s="5"/>
    </row>
    <row r="112" spans="3:22">
      <c r="C112" s="25" t="s">
        <v>315</v>
      </c>
      <c r="D112" s="26">
        <f>-M15</f>
        <v>-43388429.752066121</v>
      </c>
      <c r="E112" s="26"/>
      <c r="F112" s="26"/>
      <c r="G112" s="26"/>
      <c r="H112" s="26"/>
      <c r="I112" s="26"/>
      <c r="P112" s="193"/>
      <c r="Q112" s="5"/>
      <c r="V112" s="5"/>
    </row>
    <row r="113" spans="3:23" ht="13.5" thickBot="1">
      <c r="C113" s="25" t="s">
        <v>445</v>
      </c>
      <c r="D113" s="26"/>
      <c r="E113" s="26"/>
      <c r="F113" s="26"/>
      <c r="G113" s="26"/>
      <c r="I113" s="26"/>
      <c r="P113" s="193"/>
      <c r="Q113" s="5"/>
      <c r="R113" s="5"/>
      <c r="S113" s="5"/>
      <c r="T113" s="5"/>
      <c r="U113" s="5"/>
      <c r="V113" s="5"/>
    </row>
    <row r="114" spans="3:23">
      <c r="C114" s="286" t="s">
        <v>412</v>
      </c>
      <c r="D114" s="26"/>
      <c r="E114" s="26"/>
      <c r="F114" s="26"/>
      <c r="G114" s="26"/>
      <c r="H114" s="26"/>
      <c r="I114" s="211">
        <f>-SUM(D109:G109)</f>
        <v>108176528.01022223</v>
      </c>
      <c r="J114" s="675" t="s">
        <v>29</v>
      </c>
      <c r="P114" s="193"/>
      <c r="Q114" s="5"/>
      <c r="R114" s="5"/>
      <c r="S114" s="5"/>
      <c r="T114" s="5"/>
      <c r="U114" s="5"/>
      <c r="V114" s="5"/>
    </row>
    <row r="115" spans="3:23" ht="15" thickBot="1">
      <c r="C115" s="37" t="s">
        <v>139</v>
      </c>
      <c r="D115" s="35">
        <f t="shared" ref="D115:I115" si="2">SUM(D107:D114)</f>
        <v>-52549438.597399458</v>
      </c>
      <c r="E115" s="35">
        <f t="shared" si="2"/>
        <v>85574640.093864948</v>
      </c>
      <c r="F115" s="35">
        <f t="shared" si="2"/>
        <v>221432281.74646914</v>
      </c>
      <c r="G115" s="35">
        <f t="shared" si="2"/>
        <v>459721095.81325138</v>
      </c>
      <c r="H115" s="35">
        <f t="shared" si="2"/>
        <v>658688558.95812225</v>
      </c>
      <c r="I115" s="674">
        <f t="shared" si="2"/>
        <v>697790585.35411596</v>
      </c>
      <c r="J115" s="676">
        <f>NPV(C137,E115:I115)+D115</f>
        <v>719962637.15762138</v>
      </c>
      <c r="P115" s="726"/>
      <c r="Q115" s="5"/>
      <c r="R115" s="5"/>
      <c r="S115" s="5"/>
      <c r="T115" s="5"/>
      <c r="U115" s="5"/>
      <c r="V115" s="5"/>
      <c r="W115" s="297"/>
    </row>
    <row r="116" spans="3:23">
      <c r="C116" s="3"/>
      <c r="E116" s="5"/>
      <c r="F116" s="5"/>
      <c r="G116" s="5"/>
      <c r="H116" s="5"/>
      <c r="I116" s="5"/>
    </row>
    <row r="118" spans="3:23">
      <c r="E118" s="297"/>
      <c r="K118" s="274"/>
    </row>
    <row r="119" spans="3:23">
      <c r="C119" s="1594" t="s">
        <v>753</v>
      </c>
      <c r="D119" s="1204">
        <v>-51399438.597399458</v>
      </c>
      <c r="E119" s="1204">
        <v>86245473.427198231</v>
      </c>
      <c r="F119" s="1204">
        <v>222514448.41313586</v>
      </c>
      <c r="G119" s="1204">
        <v>460487762.47991806</v>
      </c>
      <c r="H119" s="1204">
        <v>658728524.94132233</v>
      </c>
      <c r="I119" s="1204">
        <v>694298886.37148952</v>
      </c>
    </row>
    <row r="120" spans="3:23" ht="12.75" customHeight="1">
      <c r="N120" s="369"/>
      <c r="O120" s="369"/>
      <c r="P120" s="369"/>
      <c r="Q120" s="369"/>
    </row>
    <row r="121" spans="3:23">
      <c r="N121" s="369"/>
      <c r="O121" s="369"/>
      <c r="P121" s="369"/>
      <c r="Q121" s="369"/>
    </row>
    <row r="122" spans="3:23">
      <c r="N122" s="369"/>
      <c r="O122" s="369"/>
      <c r="P122" s="369"/>
      <c r="Q122" s="369"/>
    </row>
    <row r="123" spans="3:23">
      <c r="N123" s="369"/>
      <c r="O123" s="369"/>
      <c r="P123" s="369"/>
      <c r="Q123" s="369"/>
    </row>
    <row r="124" spans="3:23">
      <c r="K124" s="369"/>
      <c r="L124" s="369"/>
      <c r="M124" s="369"/>
      <c r="N124" s="369"/>
    </row>
    <row r="125" spans="3:23">
      <c r="G125" s="669" t="s">
        <v>821</v>
      </c>
      <c r="H125" s="669"/>
      <c r="I125" s="669"/>
      <c r="K125" s="369"/>
      <c r="L125" s="369"/>
      <c r="M125" s="369"/>
      <c r="N125" s="369"/>
    </row>
    <row r="126" spans="3:23">
      <c r="G126" s="669"/>
      <c r="H126" s="669"/>
      <c r="I126" s="669"/>
      <c r="K126" s="369"/>
      <c r="L126" s="369"/>
      <c r="M126" s="369"/>
      <c r="N126" s="369"/>
    </row>
    <row r="127" spans="3:23" ht="38.25" customHeight="1">
      <c r="G127" s="670" t="s">
        <v>754</v>
      </c>
      <c r="H127" s="669"/>
      <c r="I127" s="669"/>
      <c r="K127" s="369"/>
      <c r="L127" s="369"/>
      <c r="M127" s="369"/>
      <c r="N127" s="369"/>
    </row>
    <row r="128" spans="3:23" ht="76.5" customHeight="1">
      <c r="G128" s="670" t="s">
        <v>756</v>
      </c>
      <c r="H128" s="669"/>
      <c r="I128" s="669"/>
      <c r="K128" s="369"/>
      <c r="L128" s="369"/>
      <c r="M128" s="369"/>
      <c r="N128" s="369"/>
    </row>
    <row r="129" spans="2:17" ht="76.5" customHeight="1">
      <c r="G129" s="670" t="s">
        <v>755</v>
      </c>
      <c r="H129" s="669"/>
      <c r="I129" s="669"/>
      <c r="N129" s="369"/>
      <c r="O129" s="369"/>
      <c r="P129" s="369"/>
      <c r="Q129" s="369"/>
    </row>
    <row r="130" spans="2:17">
      <c r="G130" s="669"/>
      <c r="H130" s="669"/>
      <c r="I130" s="669"/>
      <c r="N130" s="369"/>
      <c r="O130" s="369"/>
      <c r="P130" s="369"/>
      <c r="Q130" s="369"/>
    </row>
    <row r="131" spans="2:17">
      <c r="G131" s="670" t="s">
        <v>839</v>
      </c>
      <c r="H131" s="669"/>
      <c r="I131" s="669"/>
      <c r="N131" s="369"/>
      <c r="O131" s="369"/>
      <c r="P131" s="369"/>
      <c r="Q131" s="369"/>
    </row>
    <row r="132" spans="2:17" ht="14.25" customHeight="1">
      <c r="G132" s="668" t="s">
        <v>757</v>
      </c>
      <c r="H132" s="669"/>
      <c r="I132" s="669"/>
      <c r="N132" s="369"/>
      <c r="O132" s="369"/>
      <c r="P132" s="369"/>
      <c r="Q132" s="369"/>
    </row>
    <row r="133" spans="2:17">
      <c r="G133" s="669"/>
      <c r="H133" s="669"/>
      <c r="I133" s="671" t="s">
        <v>760</v>
      </c>
      <c r="N133" s="369"/>
      <c r="O133" s="369"/>
      <c r="P133" s="369"/>
      <c r="Q133" s="369"/>
    </row>
    <row r="134" spans="2:17">
      <c r="G134" s="669" t="s">
        <v>758</v>
      </c>
      <c r="H134" s="672">
        <v>-0.06</v>
      </c>
      <c r="I134" s="673">
        <f>H134/H135</f>
        <v>-1.2</v>
      </c>
    </row>
    <row r="135" spans="2:17">
      <c r="G135" s="669" t="s">
        <v>759</v>
      </c>
      <c r="H135" s="672">
        <v>0.05</v>
      </c>
      <c r="I135" s="669"/>
    </row>
    <row r="136" spans="2:17" ht="15" thickBot="1">
      <c r="G136" s="669"/>
      <c r="H136" s="669"/>
      <c r="I136" s="669"/>
      <c r="N136" s="304"/>
      <c r="O136" s="352"/>
    </row>
    <row r="137" spans="2:17" ht="14.25">
      <c r="B137" s="40" t="s">
        <v>140</v>
      </c>
      <c r="C137" s="285">
        <f>C160</f>
        <v>0.32519999999999999</v>
      </c>
      <c r="G137" s="669"/>
      <c r="H137" s="669"/>
      <c r="I137" s="669"/>
      <c r="N137" s="305"/>
      <c r="O137" s="353"/>
    </row>
    <row r="138" spans="2:17" ht="15">
      <c r="B138" s="42" t="s">
        <v>141</v>
      </c>
      <c r="C138" s="43" t="s">
        <v>142</v>
      </c>
      <c r="G138" s="669" t="s">
        <v>841</v>
      </c>
      <c r="H138" s="259"/>
      <c r="I138" s="259"/>
    </row>
    <row r="139" spans="2:17" ht="15">
      <c r="B139" s="44" t="s">
        <v>143</v>
      </c>
      <c r="C139" s="573">
        <f>C140+C141*(C142-C140)</f>
        <v>0.41000000000000003</v>
      </c>
      <c r="G139" s="259"/>
      <c r="H139" s="259"/>
      <c r="I139" s="259"/>
    </row>
    <row r="140" spans="2:17" ht="15">
      <c r="B140" s="44" t="s">
        <v>144</v>
      </c>
      <c r="C140" s="46">
        <v>0.05</v>
      </c>
      <c r="D140" s="4" t="s">
        <v>740</v>
      </c>
      <c r="G140" s="259"/>
      <c r="H140" s="259"/>
      <c r="I140" s="259"/>
    </row>
    <row r="141" spans="2:17">
      <c r="B141" s="47" t="s">
        <v>7</v>
      </c>
      <c r="C141" s="48">
        <v>1.8</v>
      </c>
      <c r="G141" s="259"/>
      <c r="H141" s="259"/>
      <c r="I141" s="259"/>
    </row>
    <row r="142" spans="2:17">
      <c r="B142" s="47" t="s">
        <v>146</v>
      </c>
      <c r="C142" s="49">
        <v>0.25</v>
      </c>
      <c r="D142" s="4"/>
      <c r="G142" s="669" t="s">
        <v>822</v>
      </c>
      <c r="H142" s="669"/>
      <c r="I142" s="669"/>
    </row>
    <row r="143" spans="2:17">
      <c r="B143" s="47" t="s">
        <v>148</v>
      </c>
      <c r="C143" s="49">
        <v>0.35</v>
      </c>
      <c r="D143" s="4"/>
    </row>
    <row r="144" spans="2:17">
      <c r="B144" s="47" t="s">
        <v>150</v>
      </c>
      <c r="C144" s="49">
        <v>0.4</v>
      </c>
      <c r="D144" s="4" t="s">
        <v>741</v>
      </c>
    </row>
    <row r="145" spans="2:16">
      <c r="B145" s="47" t="s">
        <v>152</v>
      </c>
      <c r="C145" s="49"/>
      <c r="D145" s="4"/>
      <c r="E145" s="4"/>
      <c r="F145" s="4"/>
    </row>
    <row r="146" spans="2:16" ht="13.5" thickBot="1">
      <c r="B146" s="50" t="s">
        <v>154</v>
      </c>
      <c r="C146" s="51"/>
      <c r="D146" s="4"/>
      <c r="E146" s="4"/>
      <c r="F146" s="4"/>
    </row>
    <row r="148" spans="2:16" ht="15.75">
      <c r="B148" s="570" t="s">
        <v>143</v>
      </c>
      <c r="C148" s="571">
        <f>C150+C149*(C151-C150)</f>
        <v>0.41000000000000003</v>
      </c>
      <c r="D148" s="351" t="s">
        <v>887</v>
      </c>
      <c r="L148" s="579"/>
    </row>
    <row r="149" spans="2:16" ht="14.25">
      <c r="B149" s="570" t="s">
        <v>745</v>
      </c>
      <c r="C149" s="491">
        <v>1.8</v>
      </c>
      <c r="D149" t="s">
        <v>746</v>
      </c>
    </row>
    <row r="150" spans="2:16" ht="14.25">
      <c r="B150" s="570" t="s">
        <v>144</v>
      </c>
      <c r="C150" s="572">
        <v>0.05</v>
      </c>
      <c r="D150" t="s">
        <v>747</v>
      </c>
      <c r="N150" s="580">
        <f>L163</f>
        <v>13000000</v>
      </c>
      <c r="O150" s="208">
        <v>1</v>
      </c>
    </row>
    <row r="151" spans="2:16" ht="14.25">
      <c r="B151" s="570" t="s">
        <v>146</v>
      </c>
      <c r="C151" s="572">
        <v>0.25</v>
      </c>
      <c r="N151" s="580">
        <f>L160</f>
        <v>2000000</v>
      </c>
      <c r="O151" s="581">
        <f>(N151*O150)/N150</f>
        <v>0.15384615384615385</v>
      </c>
    </row>
    <row r="153" spans="2:16">
      <c r="N153" s="580">
        <f>N150</f>
        <v>13000000</v>
      </c>
      <c r="O153" s="208">
        <v>1</v>
      </c>
    </row>
    <row r="154" spans="2:16" ht="14.25">
      <c r="B154" s="570" t="s">
        <v>748</v>
      </c>
      <c r="C154" s="574" t="s">
        <v>143</v>
      </c>
      <c r="D154" s="574" t="s">
        <v>152</v>
      </c>
      <c r="E154" s="574" t="s">
        <v>749</v>
      </c>
      <c r="F154" s="574" t="s">
        <v>150</v>
      </c>
      <c r="G154" s="574" t="s">
        <v>750</v>
      </c>
      <c r="H154" s="574" t="s">
        <v>154</v>
      </c>
      <c r="N154" s="582">
        <v>6000000</v>
      </c>
      <c r="O154" s="583">
        <f>(N154*O153)/N153</f>
        <v>0.46153846153846156</v>
      </c>
    </row>
    <row r="155" spans="2:16">
      <c r="C155" s="303"/>
      <c r="D155" s="303"/>
      <c r="E155" s="303"/>
      <c r="F155" s="303"/>
      <c r="G155" s="303"/>
      <c r="H155" s="303"/>
    </row>
    <row r="156" spans="2:16">
      <c r="C156" s="303"/>
      <c r="D156" s="303"/>
      <c r="E156" s="303"/>
      <c r="F156" s="303"/>
      <c r="G156" s="303"/>
      <c r="H156" s="303"/>
      <c r="L156" t="s">
        <v>751</v>
      </c>
      <c r="N156" s="580">
        <f>N150</f>
        <v>13000000</v>
      </c>
      <c r="O156" s="208">
        <v>1</v>
      </c>
    </row>
    <row r="157" spans="2:16" ht="14.25">
      <c r="C157" s="575">
        <f>C148</f>
        <v>0.41000000000000003</v>
      </c>
      <c r="D157" s="576">
        <v>0.6</v>
      </c>
      <c r="E157" s="574" t="s">
        <v>749</v>
      </c>
      <c r="F157" s="584">
        <f>P163</f>
        <v>0.30461538461538462</v>
      </c>
      <c r="G157" s="576">
        <f>1-0.35</f>
        <v>0.65</v>
      </c>
      <c r="H157" s="576">
        <v>0.4</v>
      </c>
      <c r="N157" s="582">
        <v>5000000</v>
      </c>
      <c r="O157" s="585">
        <f>(N157*O156)/N156</f>
        <v>0.38461538461538464</v>
      </c>
    </row>
    <row r="159" spans="2:16" ht="14.25">
      <c r="L159" s="570" t="s">
        <v>752</v>
      </c>
      <c r="N159" s="491"/>
    </row>
    <row r="160" spans="2:16" ht="14.25">
      <c r="B160" s="570" t="s">
        <v>140</v>
      </c>
      <c r="C160" s="578">
        <f>(C157*D157)+(F157*G157*H157)</f>
        <v>0.32519999999999999</v>
      </c>
      <c r="L160" s="582">
        <v>2000000</v>
      </c>
      <c r="N160" s="468">
        <v>0.18</v>
      </c>
      <c r="O160" s="586">
        <f>L160/$L$163</f>
        <v>0.15384615384615385</v>
      </c>
      <c r="P160" s="578">
        <f>N160*O160</f>
        <v>2.7692307692307693E-2</v>
      </c>
    </row>
    <row r="161" spans="3:16" ht="14.25">
      <c r="L161" s="582">
        <v>6000000</v>
      </c>
      <c r="N161" s="468">
        <v>0.35</v>
      </c>
      <c r="O161" s="587">
        <f>L161/$L$163</f>
        <v>0.46153846153846156</v>
      </c>
      <c r="P161" s="578">
        <f>N161*O161</f>
        <v>0.16153846153846155</v>
      </c>
    </row>
    <row r="162" spans="3:16" ht="14.25">
      <c r="L162" s="588">
        <v>5000000</v>
      </c>
      <c r="N162" s="589">
        <v>0.3</v>
      </c>
      <c r="O162" s="590">
        <f>L162/$L$163</f>
        <v>0.38461538461538464</v>
      </c>
      <c r="P162" s="578">
        <f>N162*O162</f>
        <v>0.11538461538461539</v>
      </c>
    </row>
    <row r="163" spans="3:16" ht="15">
      <c r="L163" s="582">
        <f>SUM(L160:L162)</f>
        <v>13000000</v>
      </c>
      <c r="N163" s="491"/>
      <c r="P163" s="591">
        <f>SUM(P160:P162)</f>
        <v>0.30461538461538462</v>
      </c>
    </row>
    <row r="164" spans="3:16" ht="15" thickBot="1">
      <c r="N164" s="491"/>
    </row>
    <row r="165" spans="3:16" ht="15" thickBot="1">
      <c r="C165" s="1756" t="s">
        <v>576</v>
      </c>
      <c r="D165" s="1757"/>
      <c r="E165" s="1757"/>
      <c r="F165" s="1757"/>
      <c r="G165" s="1757"/>
      <c r="H165" s="1757"/>
      <c r="I165" s="1757"/>
      <c r="J165" s="1757"/>
      <c r="K165" s="1757"/>
      <c r="L165" s="1758"/>
      <c r="M165" s="1056"/>
      <c r="N165" s="1056"/>
      <c r="O165" s="2"/>
      <c r="P165" s="2"/>
    </row>
    <row r="166" spans="3:16" ht="30">
      <c r="C166" s="401" t="s">
        <v>577</v>
      </c>
      <c r="D166" s="402" t="s">
        <v>578</v>
      </c>
      <c r="E166" s="403" t="s">
        <v>579</v>
      </c>
      <c r="F166" s="403" t="s">
        <v>102</v>
      </c>
      <c r="G166" s="403" t="s">
        <v>580</v>
      </c>
      <c r="H166" s="403" t="s">
        <v>581</v>
      </c>
      <c r="I166" s="403" t="s">
        <v>582</v>
      </c>
      <c r="J166" s="404" t="s">
        <v>583</v>
      </c>
      <c r="K166" s="405" t="s">
        <v>584</v>
      </c>
      <c r="L166" s="401" t="s">
        <v>585</v>
      </c>
      <c r="M166" s="1056"/>
      <c r="N166" s="401" t="s">
        <v>586</v>
      </c>
      <c r="O166" s="1759" t="s">
        <v>881</v>
      </c>
      <c r="P166" s="1759"/>
    </row>
    <row r="167" spans="3:16" ht="14.25">
      <c r="C167" s="1104" t="s">
        <v>587</v>
      </c>
      <c r="D167" s="1311">
        <v>580</v>
      </c>
      <c r="E167" s="1106" t="s">
        <v>519</v>
      </c>
      <c r="F167" s="1107"/>
      <c r="G167" s="1107">
        <v>0.2</v>
      </c>
      <c r="H167" s="1108">
        <f>1+G167</f>
        <v>1.2</v>
      </c>
      <c r="I167" s="1109">
        <f>D167*H167</f>
        <v>696</v>
      </c>
      <c r="J167" s="1106">
        <v>5</v>
      </c>
      <c r="K167" s="1110">
        <f>J167*I167*(1+F167)</f>
        <v>3480</v>
      </c>
      <c r="L167" s="1760">
        <f>SUM(K167:K172)</f>
        <v>6003.0350000000008</v>
      </c>
      <c r="M167" s="1717" t="s">
        <v>588</v>
      </c>
      <c r="N167" s="1718">
        <f>SUM(L167,M172)</f>
        <v>6118.0350000000008</v>
      </c>
      <c r="O167" s="1759"/>
      <c r="P167" s="1759"/>
    </row>
    <row r="168" spans="3:16" ht="14.25">
      <c r="C168" s="1104" t="s">
        <v>589</v>
      </c>
      <c r="D168" s="1311">
        <f>400/5</f>
        <v>80</v>
      </c>
      <c r="E168" s="1106" t="s">
        <v>519</v>
      </c>
      <c r="F168" s="1107">
        <v>0</v>
      </c>
      <c r="G168" s="1107">
        <v>0.01</v>
      </c>
      <c r="H168" s="1108">
        <f>1+G168</f>
        <v>1.01</v>
      </c>
      <c r="I168" s="1109">
        <f>D168*H168</f>
        <v>80.8</v>
      </c>
      <c r="J168" s="1108">
        <v>1.35</v>
      </c>
      <c r="K168" s="1110">
        <f>J168*I168*(1+F168)</f>
        <v>109.08</v>
      </c>
      <c r="L168" s="1761"/>
      <c r="M168" s="1717"/>
      <c r="N168" s="1718"/>
      <c r="O168" s="1759"/>
      <c r="P168" s="1759"/>
    </row>
    <row r="169" spans="3:16" ht="14.25">
      <c r="C169" s="1104" t="s">
        <v>590</v>
      </c>
      <c r="D169" s="1311">
        <v>150</v>
      </c>
      <c r="E169" s="1106" t="s">
        <v>591</v>
      </c>
      <c r="F169" s="1107"/>
      <c r="G169" s="1107">
        <v>0.05</v>
      </c>
      <c r="H169" s="1108">
        <f>1+G169</f>
        <v>1.05</v>
      </c>
      <c r="I169" s="1109">
        <f>D169*H169</f>
        <v>157.5</v>
      </c>
      <c r="J169" s="1106">
        <v>0.35</v>
      </c>
      <c r="K169" s="1318">
        <f>J169*I169*(1+F169)</f>
        <v>55.125</v>
      </c>
      <c r="L169" s="1761"/>
      <c r="M169" s="1717"/>
      <c r="N169" s="1718"/>
      <c r="O169" s="1759"/>
      <c r="P169" s="1759"/>
    </row>
    <row r="170" spans="3:16" ht="14.25">
      <c r="C170" s="1104" t="s">
        <v>592</v>
      </c>
      <c r="D170" s="1311">
        <v>268</v>
      </c>
      <c r="E170" s="1106" t="s">
        <v>591</v>
      </c>
      <c r="F170" s="1107"/>
      <c r="G170" s="1107">
        <v>0.05</v>
      </c>
      <c r="H170" s="1108">
        <f>1+G170</f>
        <v>1.05</v>
      </c>
      <c r="I170" s="1109">
        <f>D170*H170</f>
        <v>281.40000000000003</v>
      </c>
      <c r="J170" s="1106">
        <v>8</v>
      </c>
      <c r="K170" s="1110">
        <f>J170*I170*(1+F170)</f>
        <v>2251.2000000000003</v>
      </c>
      <c r="L170" s="1761"/>
      <c r="M170" s="1717"/>
      <c r="N170" s="1718"/>
      <c r="O170" s="1759"/>
      <c r="P170" s="1759"/>
    </row>
    <row r="171" spans="3:16" ht="14.25">
      <c r="C171" s="1314" t="s">
        <v>515</v>
      </c>
      <c r="D171" s="1315">
        <v>44</v>
      </c>
      <c r="E171" s="1316"/>
      <c r="F171" s="1317"/>
      <c r="G171" s="1317"/>
      <c r="H171" s="1108"/>
      <c r="I171" s="1109"/>
      <c r="J171" s="1316"/>
      <c r="K171" s="1110">
        <v>44</v>
      </c>
      <c r="L171" s="1761"/>
      <c r="M171" s="413"/>
      <c r="N171" s="1718"/>
      <c r="O171" s="1759"/>
      <c r="P171" s="1759"/>
    </row>
    <row r="172" spans="3:16" ht="15.75" thickBot="1">
      <c r="C172" s="1111" t="s">
        <v>593</v>
      </c>
      <c r="D172" s="1312">
        <v>63</v>
      </c>
      <c r="E172" s="1113" t="s">
        <v>594</v>
      </c>
      <c r="F172" s="1114">
        <v>0</v>
      </c>
      <c r="G172" s="1114">
        <v>0.01</v>
      </c>
      <c r="H172" s="1108">
        <f>1+G172</f>
        <v>1.01</v>
      </c>
      <c r="I172" s="1109">
        <f>D172*H172</f>
        <v>63.63</v>
      </c>
      <c r="J172" s="1113">
        <v>1</v>
      </c>
      <c r="K172" s="1110">
        <f>J172*I172*(1+F172)</f>
        <v>63.63</v>
      </c>
      <c r="L172" s="1762"/>
      <c r="M172" s="1313">
        <v>115</v>
      </c>
      <c r="N172" s="1718"/>
      <c r="O172" s="1759"/>
      <c r="P172" s="1759"/>
    </row>
    <row r="173" spans="3:16" ht="14.25">
      <c r="C173" s="1056"/>
      <c r="D173" s="419" t="s">
        <v>595</v>
      </c>
      <c r="E173" s="1056"/>
      <c r="F173" s="1719" t="s">
        <v>596</v>
      </c>
      <c r="G173" s="1720"/>
      <c r="J173" s="419" t="s">
        <v>595</v>
      </c>
      <c r="K173" s="1056"/>
      <c r="L173" s="1056"/>
      <c r="M173" s="419" t="s">
        <v>597</v>
      </c>
      <c r="N173" s="1056"/>
      <c r="O173" s="1759"/>
      <c r="P173" s="1759"/>
    </row>
    <row r="175" spans="3:16">
      <c r="C175" s="351"/>
    </row>
    <row r="176" spans="3:16">
      <c r="D176" s="351"/>
      <c r="E176" s="351"/>
      <c r="F176" s="351"/>
      <c r="H176" s="351"/>
    </row>
    <row r="177" spans="3:8">
      <c r="C177" s="351"/>
      <c r="E177" s="351"/>
      <c r="F177" s="208"/>
      <c r="H177" s="705"/>
    </row>
    <row r="178" spans="3:8">
      <c r="C178" s="351"/>
      <c r="E178" s="351"/>
      <c r="F178" s="208"/>
    </row>
    <row r="179" spans="3:8">
      <c r="C179" s="351"/>
      <c r="D179" s="351"/>
      <c r="E179" s="351"/>
      <c r="F179" s="208"/>
    </row>
    <row r="180" spans="3:8">
      <c r="C180" s="351"/>
      <c r="D180" s="351"/>
      <c r="E180" s="351"/>
      <c r="F180" s="208"/>
    </row>
    <row r="181" spans="3:8">
      <c r="C181" s="351"/>
      <c r="F181" s="208"/>
    </row>
    <row r="182" spans="3:8">
      <c r="C182" s="351"/>
      <c r="F182" s="208"/>
    </row>
    <row r="183" spans="3:8">
      <c r="C183" s="351"/>
    </row>
    <row r="185" spans="3:8">
      <c r="C185" s="1755"/>
      <c r="D185" s="1714"/>
      <c r="G185" s="351"/>
    </row>
    <row r="186" spans="3:8">
      <c r="C186" s="700"/>
      <c r="D186" s="700"/>
      <c r="G186" s="351"/>
    </row>
    <row r="187" spans="3:8">
      <c r="C187" s="702"/>
      <c r="D187" s="702"/>
      <c r="G187" s="351"/>
      <c r="H187" s="695"/>
    </row>
  </sheetData>
  <mergeCells count="20">
    <mergeCell ref="C185:D185"/>
    <mergeCell ref="C165:L165"/>
    <mergeCell ref="O166:P173"/>
    <mergeCell ref="L167:L172"/>
    <mergeCell ref="M167:M170"/>
    <mergeCell ref="N167:N172"/>
    <mergeCell ref="F173:G173"/>
    <mergeCell ref="M56:N56"/>
    <mergeCell ref="M64:Q64"/>
    <mergeCell ref="A2:B12"/>
    <mergeCell ref="J99:M99"/>
    <mergeCell ref="V55:Y55"/>
    <mergeCell ref="M72:Q72"/>
    <mergeCell ref="O35:S35"/>
    <mergeCell ref="M30:N30"/>
    <mergeCell ref="M42:O42"/>
    <mergeCell ref="M45:O45"/>
    <mergeCell ref="M48:O48"/>
    <mergeCell ref="M51:N51"/>
    <mergeCell ref="M41:O41"/>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F7"/>
  <sheetViews>
    <sheetView workbookViewId="0">
      <selection activeCell="E2" sqref="E2"/>
    </sheetView>
  </sheetViews>
  <sheetFormatPr defaultColWidth="14.42578125" defaultRowHeight="15.75" customHeight="1"/>
  <sheetData>
    <row r="1" spans="1:6">
      <c r="A1" s="1" t="s">
        <v>0</v>
      </c>
      <c r="B1" s="2" t="s">
        <v>1</v>
      </c>
      <c r="C1" s="2" t="s">
        <v>2</v>
      </c>
      <c r="D1" s="1" t="s">
        <v>3</v>
      </c>
      <c r="E1" s="4" t="s">
        <v>4</v>
      </c>
      <c r="F1" s="4" t="s">
        <v>5</v>
      </c>
    </row>
    <row r="2" spans="1:6">
      <c r="A2" s="3">
        <v>0.1</v>
      </c>
      <c r="B2" s="4">
        <v>6</v>
      </c>
      <c r="C2" s="4">
        <v>18</v>
      </c>
      <c r="D2" s="3">
        <v>0.02</v>
      </c>
      <c r="E2" s="4">
        <v>700</v>
      </c>
      <c r="F2" s="4">
        <v>1800000</v>
      </c>
    </row>
    <row r="3" spans="1:6">
      <c r="A3" s="3"/>
      <c r="C3" s="2" t="s">
        <v>13</v>
      </c>
      <c r="D3" s="3"/>
    </row>
    <row r="4" spans="1:6">
      <c r="A4" s="3"/>
      <c r="D4" s="3"/>
    </row>
    <row r="5" spans="1:6">
      <c r="A5" s="3"/>
      <c r="D5" s="3"/>
    </row>
    <row r="6" spans="1:6">
      <c r="A6" s="3"/>
      <c r="D6" s="3"/>
    </row>
    <row r="7" spans="1:6">
      <c r="A7" s="3"/>
      <c r="D7" s="3"/>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BFB1C-1213-4853-A29B-C44B4B5D6B9C}">
  <dimension ref="A1:Z1000"/>
  <sheetViews>
    <sheetView showGridLines="0" topLeftCell="A54" zoomScale="150" zoomScaleNormal="150" workbookViewId="0">
      <selection activeCell="F61" sqref="F61"/>
    </sheetView>
  </sheetViews>
  <sheetFormatPr defaultColWidth="14.42578125" defaultRowHeight="15" customHeight="1"/>
  <cols>
    <col min="1" max="1" width="10.28515625" style="1260" customWidth="1"/>
    <col min="2" max="2" width="31.5703125" style="1260" customWidth="1"/>
    <col min="3" max="3" width="11.85546875" style="1260" customWidth="1"/>
    <col min="4" max="4" width="13.5703125" style="1260" customWidth="1"/>
    <col min="5" max="5" width="17" style="1260" customWidth="1"/>
    <col min="6" max="6" width="18" style="1260" customWidth="1"/>
    <col min="7" max="10" width="18.7109375" style="1260" customWidth="1"/>
    <col min="11" max="14" width="19.7109375" style="1260" customWidth="1"/>
    <col min="15" max="26" width="11.42578125" style="1260" customWidth="1"/>
    <col min="27" max="16384" width="14.42578125" style="1260"/>
  </cols>
  <sheetData>
    <row r="1" spans="1:26" ht="9" customHeight="1" thickBot="1">
      <c r="A1" s="1259"/>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row>
    <row r="2" spans="1:26" ht="19.5" customHeight="1" thickBot="1">
      <c r="A2" s="1259"/>
      <c r="B2" s="1261" t="s">
        <v>1249</v>
      </c>
      <c r="C2" s="1763" t="s">
        <v>1250</v>
      </c>
      <c r="D2" s="1764"/>
      <c r="E2" s="1764"/>
      <c r="F2" s="1765"/>
      <c r="G2" s="1259"/>
      <c r="H2" s="1259"/>
      <c r="I2" s="1259"/>
      <c r="J2" s="1259"/>
      <c r="K2" s="1259"/>
      <c r="L2" s="1259"/>
      <c r="M2" s="1259"/>
      <c r="N2" s="1259"/>
      <c r="O2" s="1259"/>
      <c r="P2" s="1259"/>
      <c r="Q2" s="1259"/>
      <c r="R2" s="1259"/>
      <c r="S2" s="1259"/>
      <c r="T2" s="1259"/>
      <c r="U2" s="1259"/>
      <c r="V2" s="1259"/>
      <c r="W2" s="1259"/>
      <c r="X2" s="1259"/>
      <c r="Y2" s="1259"/>
      <c r="Z2" s="1259"/>
    </row>
    <row r="3" spans="1:26" ht="6.75" customHeight="1" thickBot="1">
      <c r="A3" s="1259"/>
      <c r="B3" s="1259"/>
      <c r="C3" s="1259"/>
      <c r="D3" s="1259"/>
      <c r="E3" s="1259"/>
      <c r="F3" s="1259"/>
      <c r="G3" s="1259"/>
      <c r="H3" s="1259"/>
      <c r="I3" s="1259"/>
      <c r="J3" s="1259"/>
      <c r="K3" s="1259"/>
      <c r="L3" s="1259"/>
      <c r="M3" s="1259"/>
      <c r="N3" s="1259"/>
      <c r="O3" s="1259"/>
      <c r="P3" s="1259"/>
      <c r="Q3" s="1259"/>
      <c r="R3" s="1259"/>
      <c r="S3" s="1259"/>
      <c r="T3" s="1259"/>
      <c r="U3" s="1259"/>
      <c r="V3" s="1259"/>
      <c r="W3" s="1259"/>
      <c r="X3" s="1259"/>
      <c r="Y3" s="1259"/>
      <c r="Z3" s="1259"/>
    </row>
    <row r="4" spans="1:26" ht="19.5" customHeight="1" thickBot="1">
      <c r="A4" s="1259"/>
      <c r="B4" s="1261" t="s">
        <v>1251</v>
      </c>
      <c r="C4" s="1763" t="s">
        <v>1252</v>
      </c>
      <c r="D4" s="1764"/>
      <c r="E4" s="1764"/>
      <c r="F4" s="1765"/>
      <c r="G4" s="1259"/>
      <c r="H4" s="1259"/>
      <c r="I4" s="1259"/>
      <c r="J4" s="1259"/>
      <c r="K4" s="1259"/>
      <c r="L4" s="1259"/>
      <c r="M4" s="1259"/>
      <c r="N4" s="1259"/>
      <c r="O4" s="1259"/>
      <c r="P4" s="1259"/>
      <c r="Q4" s="1259"/>
      <c r="R4" s="1259"/>
      <c r="S4" s="1259"/>
      <c r="T4" s="1259"/>
      <c r="U4" s="1259"/>
      <c r="V4" s="1259"/>
      <c r="W4" s="1259"/>
      <c r="X4" s="1259"/>
      <c r="Y4" s="1259"/>
      <c r="Z4" s="1259"/>
    </row>
    <row r="5" spans="1:26">
      <c r="A5" s="1259"/>
      <c r="B5" s="1262" t="s">
        <v>633</v>
      </c>
      <c r="C5" s="1259"/>
      <c r="D5" s="1259"/>
      <c r="E5" s="1259"/>
      <c r="F5" s="1259"/>
      <c r="G5" s="1259"/>
      <c r="H5" s="1259"/>
      <c r="I5" s="1259"/>
      <c r="J5" s="1259"/>
      <c r="K5" s="1259"/>
      <c r="L5" s="1259"/>
      <c r="M5" s="1259"/>
      <c r="N5" s="1259"/>
      <c r="O5" s="1259"/>
      <c r="P5" s="1259"/>
      <c r="Q5" s="1259"/>
      <c r="R5" s="1259"/>
      <c r="S5" s="1259"/>
      <c r="T5" s="1259"/>
      <c r="U5" s="1259"/>
      <c r="V5" s="1259"/>
      <c r="W5" s="1259"/>
      <c r="X5" s="1259"/>
      <c r="Y5" s="1259"/>
      <c r="Z5" s="1259"/>
    </row>
    <row r="6" spans="1:26">
      <c r="A6" s="1259"/>
      <c r="B6" s="1259"/>
      <c r="C6" s="1259"/>
      <c r="D6" s="1259"/>
      <c r="E6" s="1263">
        <v>0</v>
      </c>
      <c r="F6" s="1264" t="s">
        <v>1253</v>
      </c>
      <c r="G6" s="1265" t="s">
        <v>1254</v>
      </c>
      <c r="H6" s="1263" t="s">
        <v>1255</v>
      </c>
      <c r="I6" s="1264">
        <v>5</v>
      </c>
      <c r="J6" s="1265">
        <v>6</v>
      </c>
      <c r="K6" s="1263">
        <v>7</v>
      </c>
      <c r="L6" s="1263">
        <v>8</v>
      </c>
      <c r="M6" s="1264">
        <v>9</v>
      </c>
      <c r="N6" s="1265">
        <v>10</v>
      </c>
      <c r="O6" s="1259"/>
      <c r="P6" s="1259"/>
      <c r="Q6" s="1259"/>
      <c r="R6" s="1259"/>
      <c r="S6" s="1259"/>
      <c r="T6" s="1259"/>
      <c r="U6" s="1259"/>
      <c r="V6" s="1259"/>
      <c r="W6" s="1259"/>
      <c r="X6" s="1259"/>
      <c r="Y6" s="1259"/>
      <c r="Z6" s="1259"/>
    </row>
    <row r="7" spans="1:26">
      <c r="A7" s="1259"/>
      <c r="B7" s="1259" t="s">
        <v>1256</v>
      </c>
      <c r="C7" s="1259"/>
      <c r="D7" s="1259"/>
      <c r="E7" s="1266">
        <f>'[1]Flujo Fondo'!E12/12</f>
        <v>5000</v>
      </c>
      <c r="F7" s="1266">
        <f t="shared" ref="F7:N7" si="0">+E7</f>
        <v>5000</v>
      </c>
      <c r="G7" s="1266">
        <f t="shared" si="0"/>
        <v>5000</v>
      </c>
      <c r="H7" s="1266">
        <f t="shared" si="0"/>
        <v>5000</v>
      </c>
      <c r="I7" s="1266">
        <f t="shared" si="0"/>
        <v>5000</v>
      </c>
      <c r="J7" s="1266">
        <f t="shared" si="0"/>
        <v>5000</v>
      </c>
      <c r="K7" s="1266">
        <f t="shared" si="0"/>
        <v>5000</v>
      </c>
      <c r="L7" s="1266">
        <f t="shared" si="0"/>
        <v>5000</v>
      </c>
      <c r="M7" s="1266">
        <f t="shared" si="0"/>
        <v>5000</v>
      </c>
      <c r="N7" s="1266">
        <f t="shared" si="0"/>
        <v>5000</v>
      </c>
      <c r="O7" s="1259"/>
      <c r="P7" s="1259"/>
      <c r="Q7" s="1259"/>
      <c r="R7" s="1259"/>
      <c r="S7" s="1259"/>
      <c r="T7" s="1259"/>
      <c r="U7" s="1259"/>
      <c r="V7" s="1259"/>
      <c r="W7" s="1259"/>
      <c r="X7" s="1259"/>
      <c r="Y7" s="1259"/>
      <c r="Z7" s="1259"/>
    </row>
    <row r="8" spans="1:26">
      <c r="A8" s="1259"/>
      <c r="B8" s="1259"/>
      <c r="C8" s="1259"/>
      <c r="D8" s="1259"/>
      <c r="E8" s="1266"/>
      <c r="F8" s="1266"/>
      <c r="G8" s="1266"/>
      <c r="H8" s="1259"/>
      <c r="I8" s="1259"/>
      <c r="J8" s="1259"/>
      <c r="K8" s="1259"/>
      <c r="L8" s="1259"/>
      <c r="M8" s="1259"/>
      <c r="N8" s="1259"/>
      <c r="O8" s="1259"/>
      <c r="P8" s="1259"/>
      <c r="Q8" s="1259"/>
      <c r="R8" s="1259"/>
      <c r="S8" s="1259"/>
      <c r="T8" s="1259"/>
      <c r="U8" s="1259"/>
      <c r="V8" s="1259"/>
      <c r="W8" s="1259"/>
      <c r="X8" s="1259"/>
      <c r="Y8" s="1259"/>
      <c r="Z8" s="1259"/>
    </row>
    <row r="9" spans="1:26">
      <c r="A9" s="1259"/>
      <c r="B9" s="1267" t="s">
        <v>1257</v>
      </c>
      <c r="C9" s="1268"/>
      <c r="D9" s="1259"/>
      <c r="E9" s="1269">
        <f>'[1]Flujo Fondo'!E22/12</f>
        <v>62979165.599999994</v>
      </c>
      <c r="F9" s="1269">
        <f t="shared" ref="F9:N9" si="1">+E9</f>
        <v>62979165.599999994</v>
      </c>
      <c r="G9" s="1269">
        <f t="shared" si="1"/>
        <v>62979165.599999994</v>
      </c>
      <c r="H9" s="1269">
        <f t="shared" si="1"/>
        <v>62979165.599999994</v>
      </c>
      <c r="I9" s="1269">
        <f t="shared" si="1"/>
        <v>62979165.599999994</v>
      </c>
      <c r="J9" s="1269">
        <f t="shared" si="1"/>
        <v>62979165.599999994</v>
      </c>
      <c r="K9" s="1269">
        <f t="shared" si="1"/>
        <v>62979165.599999994</v>
      </c>
      <c r="L9" s="1269">
        <f t="shared" si="1"/>
        <v>62979165.599999994</v>
      </c>
      <c r="M9" s="1269">
        <f t="shared" si="1"/>
        <v>62979165.599999994</v>
      </c>
      <c r="N9" s="1269">
        <f t="shared" si="1"/>
        <v>62979165.599999994</v>
      </c>
      <c r="O9" s="1259"/>
      <c r="P9" s="1259"/>
      <c r="Q9" s="1259"/>
      <c r="R9" s="1259"/>
      <c r="S9" s="1259"/>
      <c r="T9" s="1259"/>
      <c r="U9" s="1259"/>
      <c r="V9" s="1259"/>
      <c r="W9" s="1259"/>
      <c r="X9" s="1259"/>
      <c r="Y9" s="1259"/>
      <c r="Z9" s="1259"/>
    </row>
    <row r="10" spans="1:26">
      <c r="A10" s="1259"/>
      <c r="B10" s="1267" t="s">
        <v>635</v>
      </c>
      <c r="C10" s="1270">
        <v>0.1</v>
      </c>
      <c r="D10" s="1259"/>
      <c r="E10" s="1269">
        <f>E9*C10</f>
        <v>6297916.5599999996</v>
      </c>
      <c r="F10" s="1269">
        <f t="shared" ref="F10:N11" si="2">E10</f>
        <v>6297916.5599999996</v>
      </c>
      <c r="G10" s="1269">
        <f t="shared" si="2"/>
        <v>6297916.5599999996</v>
      </c>
      <c r="H10" s="1269">
        <f t="shared" si="2"/>
        <v>6297916.5599999996</v>
      </c>
      <c r="I10" s="1269">
        <f t="shared" si="2"/>
        <v>6297916.5599999996</v>
      </c>
      <c r="J10" s="1269">
        <f t="shared" si="2"/>
        <v>6297916.5599999996</v>
      </c>
      <c r="K10" s="1269">
        <f t="shared" si="2"/>
        <v>6297916.5599999996</v>
      </c>
      <c r="L10" s="1269">
        <f t="shared" si="2"/>
        <v>6297916.5599999996</v>
      </c>
      <c r="M10" s="1269">
        <f t="shared" si="2"/>
        <v>6297916.5599999996</v>
      </c>
      <c r="N10" s="1269">
        <f t="shared" si="2"/>
        <v>6297916.5599999996</v>
      </c>
      <c r="O10" s="1259"/>
      <c r="P10" s="1259"/>
      <c r="Q10" s="1259"/>
      <c r="R10" s="1259"/>
      <c r="S10" s="1259"/>
      <c r="T10" s="1259"/>
      <c r="U10" s="1259"/>
      <c r="V10" s="1259"/>
      <c r="W10" s="1259"/>
      <c r="X10" s="1259"/>
      <c r="Y10" s="1259"/>
      <c r="Z10" s="1259"/>
    </row>
    <row r="11" spans="1:26">
      <c r="A11" s="1259"/>
      <c r="B11" s="1267" t="s">
        <v>636</v>
      </c>
      <c r="C11" s="1270">
        <v>0.1</v>
      </c>
      <c r="D11" s="1259"/>
      <c r="E11" s="1266"/>
      <c r="F11" s="1269">
        <f>E9*C11</f>
        <v>6297916.5599999996</v>
      </c>
      <c r="G11" s="1269">
        <f t="shared" si="2"/>
        <v>6297916.5599999996</v>
      </c>
      <c r="H11" s="1269">
        <f t="shared" si="2"/>
        <v>6297916.5599999996</v>
      </c>
      <c r="I11" s="1269">
        <f t="shared" si="2"/>
        <v>6297916.5599999996</v>
      </c>
      <c r="J11" s="1269">
        <f t="shared" si="2"/>
        <v>6297916.5599999996</v>
      </c>
      <c r="K11" s="1269">
        <f t="shared" si="2"/>
        <v>6297916.5599999996</v>
      </c>
      <c r="L11" s="1269">
        <f t="shared" si="2"/>
        <v>6297916.5599999996</v>
      </c>
      <c r="M11" s="1269">
        <f t="shared" si="2"/>
        <v>6297916.5599999996</v>
      </c>
      <c r="N11" s="1269">
        <f t="shared" si="2"/>
        <v>6297916.5599999996</v>
      </c>
      <c r="O11" s="1259"/>
      <c r="P11" s="1259"/>
      <c r="Q11" s="1259"/>
      <c r="R11" s="1259"/>
      <c r="S11" s="1259"/>
      <c r="T11" s="1259"/>
      <c r="U11" s="1259"/>
      <c r="V11" s="1259"/>
      <c r="W11" s="1259"/>
      <c r="X11" s="1259"/>
      <c r="Y11" s="1259"/>
      <c r="Z11" s="1259"/>
    </row>
    <row r="12" spans="1:26">
      <c r="A12" s="1259"/>
      <c r="B12" s="1271" t="s">
        <v>1258</v>
      </c>
      <c r="C12" s="1272">
        <v>0.8</v>
      </c>
      <c r="D12" s="1273"/>
      <c r="E12" s="1274"/>
      <c r="F12" s="1275"/>
      <c r="G12" s="1275"/>
      <c r="H12" s="1275">
        <f>E9*C12</f>
        <v>50383332.479999997</v>
      </c>
      <c r="I12" s="1275">
        <f t="shared" ref="I12:N12" si="3">+H12</f>
        <v>50383332.479999997</v>
      </c>
      <c r="J12" s="1275">
        <f t="shared" si="3"/>
        <v>50383332.479999997</v>
      </c>
      <c r="K12" s="1275">
        <f t="shared" si="3"/>
        <v>50383332.479999997</v>
      </c>
      <c r="L12" s="1275">
        <f t="shared" si="3"/>
        <v>50383332.479999997</v>
      </c>
      <c r="M12" s="1275">
        <f t="shared" si="3"/>
        <v>50383332.479999997</v>
      </c>
      <c r="N12" s="1275">
        <f t="shared" si="3"/>
        <v>50383332.479999997</v>
      </c>
      <c r="O12" s="1259"/>
      <c r="P12" s="1259"/>
      <c r="Q12" s="1259"/>
      <c r="R12" s="1259"/>
      <c r="S12" s="1259"/>
      <c r="T12" s="1259"/>
      <c r="U12" s="1259"/>
      <c r="V12" s="1259"/>
      <c r="W12" s="1259"/>
      <c r="X12" s="1259"/>
      <c r="Y12" s="1259"/>
      <c r="Z12" s="1259"/>
    </row>
    <row r="13" spans="1:26">
      <c r="A13" s="1259"/>
      <c r="B13" s="1267"/>
      <c r="C13" s="1268"/>
      <c r="D13" s="1259"/>
      <c r="E13" s="1269">
        <f t="shared" ref="E13:N13" si="4">SUM(E10:E12)</f>
        <v>6297916.5599999996</v>
      </c>
      <c r="F13" s="1269">
        <f t="shared" si="4"/>
        <v>12595833.119999999</v>
      </c>
      <c r="G13" s="1269">
        <f t="shared" si="4"/>
        <v>12595833.119999999</v>
      </c>
      <c r="H13" s="1269">
        <f t="shared" si="4"/>
        <v>62979165.599999994</v>
      </c>
      <c r="I13" s="1269">
        <f t="shared" si="4"/>
        <v>62979165.599999994</v>
      </c>
      <c r="J13" s="1269">
        <f t="shared" si="4"/>
        <v>62979165.599999994</v>
      </c>
      <c r="K13" s="1269">
        <f t="shared" si="4"/>
        <v>62979165.599999994</v>
      </c>
      <c r="L13" s="1269">
        <f t="shared" si="4"/>
        <v>62979165.599999994</v>
      </c>
      <c r="M13" s="1269">
        <f t="shared" si="4"/>
        <v>62979165.599999994</v>
      </c>
      <c r="N13" s="1269">
        <f t="shared" si="4"/>
        <v>62979165.599999994</v>
      </c>
      <c r="O13" s="1259"/>
      <c r="P13" s="1259"/>
      <c r="Q13" s="1259"/>
      <c r="R13" s="1259"/>
      <c r="S13" s="1259"/>
      <c r="T13" s="1259"/>
      <c r="U13" s="1259"/>
      <c r="V13" s="1259"/>
      <c r="W13" s="1259"/>
      <c r="X13" s="1259"/>
      <c r="Y13" s="1259"/>
      <c r="Z13" s="1259"/>
    </row>
    <row r="14" spans="1:26">
      <c r="A14" s="1259"/>
      <c r="B14" s="1267"/>
      <c r="C14" s="1268"/>
      <c r="D14" s="1259"/>
      <c r="E14" s="1269"/>
      <c r="F14" s="1269"/>
      <c r="G14" s="1269"/>
      <c r="H14" s="1269"/>
      <c r="I14" s="1269"/>
      <c r="J14" s="1269"/>
      <c r="K14" s="1269"/>
      <c r="L14" s="1269"/>
      <c r="M14" s="1269"/>
      <c r="N14" s="1269"/>
      <c r="O14" s="1259"/>
      <c r="P14" s="1259"/>
      <c r="Q14" s="1259"/>
      <c r="R14" s="1259"/>
      <c r="S14" s="1259"/>
      <c r="T14" s="1259"/>
      <c r="U14" s="1259"/>
      <c r="V14" s="1259"/>
      <c r="W14" s="1259"/>
      <c r="X14" s="1259"/>
      <c r="Y14" s="1259"/>
      <c r="Z14" s="1259"/>
    </row>
    <row r="15" spans="1:26">
      <c r="A15" s="1259"/>
      <c r="B15" s="1276" t="s">
        <v>1259</v>
      </c>
      <c r="C15" s="1268"/>
      <c r="D15" s="1259"/>
      <c r="E15" s="1269"/>
      <c r="F15" s="1269"/>
      <c r="G15" s="1269">
        <f>'[1]Flujo Fondo'!E28/12</f>
        <v>-30590175</v>
      </c>
      <c r="H15" s="1269">
        <f t="shared" ref="H15:N15" si="5">G15</f>
        <v>-30590175</v>
      </c>
      <c r="I15" s="1269">
        <f t="shared" si="5"/>
        <v>-30590175</v>
      </c>
      <c r="J15" s="1269">
        <f t="shared" si="5"/>
        <v>-30590175</v>
      </c>
      <c r="K15" s="1269">
        <f t="shared" si="5"/>
        <v>-30590175</v>
      </c>
      <c r="L15" s="1269">
        <f t="shared" si="5"/>
        <v>-30590175</v>
      </c>
      <c r="M15" s="1269">
        <f t="shared" si="5"/>
        <v>-30590175</v>
      </c>
      <c r="N15" s="1269">
        <f t="shared" si="5"/>
        <v>-30590175</v>
      </c>
      <c r="O15" s="1259"/>
      <c r="P15" s="1259"/>
      <c r="Q15" s="1259"/>
      <c r="R15" s="1259"/>
      <c r="S15" s="1259"/>
      <c r="T15" s="1259"/>
      <c r="U15" s="1259"/>
      <c r="V15" s="1259"/>
      <c r="W15" s="1259"/>
      <c r="X15" s="1259"/>
      <c r="Y15" s="1259"/>
      <c r="Z15" s="1259"/>
    </row>
    <row r="16" spans="1:26">
      <c r="A16" s="1259"/>
      <c r="B16" s="1276" t="s">
        <v>1260</v>
      </c>
      <c r="C16" s="1268"/>
      <c r="D16" s="1259"/>
      <c r="E16" s="1269"/>
      <c r="F16" s="1269">
        <f>'[1]Flujo Fondo'!E29/12</f>
        <v>0</v>
      </c>
      <c r="G16" s="1269">
        <f t="shared" ref="G16:N16" si="6">F16</f>
        <v>0</v>
      </c>
      <c r="H16" s="1269">
        <f t="shared" si="6"/>
        <v>0</v>
      </c>
      <c r="I16" s="1269">
        <f t="shared" si="6"/>
        <v>0</v>
      </c>
      <c r="J16" s="1269">
        <f t="shared" si="6"/>
        <v>0</v>
      </c>
      <c r="K16" s="1269">
        <f t="shared" si="6"/>
        <v>0</v>
      </c>
      <c r="L16" s="1269">
        <f t="shared" si="6"/>
        <v>0</v>
      </c>
      <c r="M16" s="1269">
        <f t="shared" si="6"/>
        <v>0</v>
      </c>
      <c r="N16" s="1269">
        <f t="shared" si="6"/>
        <v>0</v>
      </c>
      <c r="O16" s="1259"/>
      <c r="P16" s="1259"/>
      <c r="Q16" s="1259"/>
      <c r="R16" s="1259"/>
      <c r="S16" s="1259"/>
      <c r="T16" s="1259"/>
      <c r="U16" s="1259"/>
      <c r="V16" s="1259"/>
      <c r="W16" s="1259"/>
      <c r="X16" s="1259"/>
      <c r="Y16" s="1259"/>
      <c r="Z16" s="1259"/>
    </row>
    <row r="17" spans="1:26">
      <c r="A17" s="1259"/>
      <c r="B17" s="1276"/>
      <c r="C17" s="1268"/>
      <c r="D17" s="1259"/>
      <c r="E17" s="1269"/>
      <c r="F17" s="1269">
        <f>'[1]Flujo Fondo'!E30/12</f>
        <v>0</v>
      </c>
      <c r="G17" s="1269"/>
      <c r="H17" s="1269"/>
      <c r="I17" s="1269"/>
      <c r="J17" s="1269"/>
      <c r="K17" s="1269"/>
      <c r="L17" s="1269"/>
      <c r="M17" s="1269"/>
      <c r="N17" s="1269"/>
      <c r="O17" s="1259"/>
      <c r="P17" s="1259"/>
      <c r="Q17" s="1259"/>
      <c r="R17" s="1259"/>
      <c r="S17" s="1259"/>
      <c r="T17" s="1259"/>
      <c r="U17" s="1259"/>
      <c r="V17" s="1259"/>
      <c r="W17" s="1259"/>
      <c r="X17" s="1259"/>
      <c r="Y17" s="1259"/>
      <c r="Z17" s="1259"/>
    </row>
    <row r="18" spans="1:26">
      <c r="A18" s="1259"/>
      <c r="B18" s="1276" t="s">
        <v>1261</v>
      </c>
      <c r="C18" s="1268"/>
      <c r="D18" s="1259"/>
      <c r="E18" s="1269"/>
      <c r="F18" s="1269">
        <f>'[1]Flujo Fondo'!E31/12</f>
        <v>-8000000</v>
      </c>
      <c r="G18" s="1269">
        <f t="shared" ref="G18:N18" si="7">F18</f>
        <v>-8000000</v>
      </c>
      <c r="H18" s="1269">
        <f t="shared" si="7"/>
        <v>-8000000</v>
      </c>
      <c r="I18" s="1269">
        <f t="shared" si="7"/>
        <v>-8000000</v>
      </c>
      <c r="J18" s="1269">
        <f t="shared" si="7"/>
        <v>-8000000</v>
      </c>
      <c r="K18" s="1269">
        <f t="shared" si="7"/>
        <v>-8000000</v>
      </c>
      <c r="L18" s="1269">
        <f t="shared" si="7"/>
        <v>-8000000</v>
      </c>
      <c r="M18" s="1269">
        <f t="shared" si="7"/>
        <v>-8000000</v>
      </c>
      <c r="N18" s="1269">
        <f t="shared" si="7"/>
        <v>-8000000</v>
      </c>
      <c r="O18" s="1259"/>
      <c r="P18" s="1259"/>
      <c r="Q18" s="1259"/>
      <c r="R18" s="1259"/>
      <c r="S18" s="1259"/>
      <c r="T18" s="1259"/>
      <c r="U18" s="1259"/>
      <c r="V18" s="1259"/>
      <c r="W18" s="1259"/>
      <c r="X18" s="1259"/>
      <c r="Y18" s="1259"/>
      <c r="Z18" s="1259"/>
    </row>
    <row r="19" spans="1:26">
      <c r="A19" s="1259"/>
      <c r="C19" s="1268"/>
      <c r="D19" s="1259"/>
      <c r="E19" s="1269"/>
      <c r="F19" s="1269">
        <f>'[1]Flujo Fondo'!E32/12</f>
        <v>0</v>
      </c>
      <c r="G19" s="1269"/>
      <c r="H19" s="1269"/>
      <c r="I19" s="1269"/>
      <c r="J19" s="1269"/>
      <c r="K19" s="1269"/>
      <c r="L19" s="1269"/>
      <c r="M19" s="1269"/>
      <c r="N19" s="1269"/>
      <c r="O19" s="1259"/>
      <c r="P19" s="1259"/>
      <c r="Q19" s="1259"/>
      <c r="R19" s="1259"/>
      <c r="S19" s="1259"/>
      <c r="T19" s="1259"/>
      <c r="U19" s="1259"/>
      <c r="V19" s="1259"/>
      <c r="W19" s="1259"/>
      <c r="X19" s="1259"/>
      <c r="Y19" s="1259"/>
      <c r="Z19" s="1259"/>
    </row>
    <row r="20" spans="1:26">
      <c r="A20" s="1259"/>
      <c r="B20" s="1276" t="s">
        <v>533</v>
      </c>
      <c r="C20" s="1268"/>
      <c r="D20" s="1259"/>
      <c r="E20" s="1269"/>
      <c r="F20" s="1269">
        <f>'[1]Flujo Fondo'!E33/12</f>
        <v>-1625000</v>
      </c>
      <c r="G20" s="1269">
        <f t="shared" ref="G20:N24" si="8">F20</f>
        <v>-1625000</v>
      </c>
      <c r="H20" s="1269">
        <f t="shared" si="8"/>
        <v>-1625000</v>
      </c>
      <c r="I20" s="1269">
        <f t="shared" si="8"/>
        <v>-1625000</v>
      </c>
      <c r="J20" s="1269">
        <f t="shared" si="8"/>
        <v>-1625000</v>
      </c>
      <c r="K20" s="1269">
        <f t="shared" si="8"/>
        <v>-1625000</v>
      </c>
      <c r="L20" s="1269">
        <f t="shared" si="8"/>
        <v>-1625000</v>
      </c>
      <c r="M20" s="1269">
        <f t="shared" si="8"/>
        <v>-1625000</v>
      </c>
      <c r="N20" s="1269">
        <f t="shared" si="8"/>
        <v>-1625000</v>
      </c>
      <c r="O20" s="1259"/>
      <c r="P20" s="1259"/>
      <c r="Q20" s="1259"/>
      <c r="R20" s="1259"/>
      <c r="S20" s="1259"/>
      <c r="T20" s="1259"/>
      <c r="U20" s="1259"/>
      <c r="V20" s="1259"/>
      <c r="W20" s="1259"/>
      <c r="X20" s="1259"/>
      <c r="Y20" s="1259"/>
      <c r="Z20" s="1259"/>
    </row>
    <row r="21" spans="1:26" ht="15.75" customHeight="1">
      <c r="A21" s="1259"/>
      <c r="B21" s="1276" t="s">
        <v>534</v>
      </c>
      <c r="C21" s="1268"/>
      <c r="D21" s="1259"/>
      <c r="E21" s="1269"/>
      <c r="F21" s="1269">
        <f>'[1]Flujo Fondo'!E34/12</f>
        <v>-866666.66666666663</v>
      </c>
      <c r="G21" s="1269">
        <f t="shared" si="8"/>
        <v>-866666.66666666663</v>
      </c>
      <c r="H21" s="1269">
        <f t="shared" si="8"/>
        <v>-866666.66666666663</v>
      </c>
      <c r="I21" s="1269">
        <f t="shared" si="8"/>
        <v>-866666.66666666663</v>
      </c>
      <c r="J21" s="1269">
        <f t="shared" si="8"/>
        <v>-866666.66666666663</v>
      </c>
      <c r="K21" s="1269">
        <f t="shared" si="8"/>
        <v>-866666.66666666663</v>
      </c>
      <c r="L21" s="1269">
        <f t="shared" si="8"/>
        <v>-866666.66666666663</v>
      </c>
      <c r="M21" s="1269">
        <f t="shared" si="8"/>
        <v>-866666.66666666663</v>
      </c>
      <c r="N21" s="1269">
        <f t="shared" si="8"/>
        <v>-866666.66666666663</v>
      </c>
      <c r="O21" s="1259"/>
      <c r="P21" s="1259"/>
      <c r="Q21" s="1259"/>
      <c r="R21" s="1259"/>
      <c r="S21" s="1259"/>
      <c r="T21" s="1259"/>
      <c r="U21" s="1259"/>
      <c r="V21" s="1259"/>
      <c r="W21" s="1259"/>
      <c r="X21" s="1259"/>
      <c r="Y21" s="1259"/>
      <c r="Z21" s="1259"/>
    </row>
    <row r="22" spans="1:26" ht="15.75" customHeight="1">
      <c r="A22" s="1259"/>
      <c r="B22" s="1276" t="s">
        <v>535</v>
      </c>
      <c r="C22" s="1268"/>
      <c r="D22" s="1259"/>
      <c r="E22" s="1269"/>
      <c r="F22" s="1269">
        <f>'[1]Flujo Fondo'!E35/12</f>
        <v>-3250000</v>
      </c>
      <c r="G22" s="1269">
        <f t="shared" si="8"/>
        <v>-3250000</v>
      </c>
      <c r="H22" s="1269">
        <f t="shared" si="8"/>
        <v>-3250000</v>
      </c>
      <c r="I22" s="1269">
        <f t="shared" si="8"/>
        <v>-3250000</v>
      </c>
      <c r="J22" s="1269">
        <f t="shared" si="8"/>
        <v>-3250000</v>
      </c>
      <c r="K22" s="1269">
        <f t="shared" si="8"/>
        <v>-3250000</v>
      </c>
      <c r="L22" s="1269">
        <f t="shared" si="8"/>
        <v>-3250000</v>
      </c>
      <c r="M22" s="1269">
        <f t="shared" si="8"/>
        <v>-3250000</v>
      </c>
      <c r="N22" s="1269">
        <f t="shared" si="8"/>
        <v>-3250000</v>
      </c>
      <c r="O22" s="1259"/>
      <c r="P22" s="1259"/>
      <c r="Q22" s="1259"/>
      <c r="R22" s="1259"/>
      <c r="S22" s="1259"/>
      <c r="T22" s="1259"/>
      <c r="U22" s="1259"/>
      <c r="V22" s="1259"/>
      <c r="W22" s="1259"/>
      <c r="X22" s="1259"/>
      <c r="Y22" s="1259"/>
      <c r="Z22" s="1259"/>
    </row>
    <row r="23" spans="1:26" ht="15.75" customHeight="1">
      <c r="A23" s="1259"/>
      <c r="B23" s="1276" t="s">
        <v>1262</v>
      </c>
      <c r="C23" s="1268"/>
      <c r="D23" s="1259"/>
      <c r="E23" s="1269"/>
      <c r="F23" s="1269">
        <f>'[1]Flujo Fondo'!E40/12</f>
        <v>-629791.65599999996</v>
      </c>
      <c r="G23" s="1269">
        <f t="shared" si="8"/>
        <v>-629791.65599999996</v>
      </c>
      <c r="H23" s="1269">
        <f t="shared" si="8"/>
        <v>-629791.65599999996</v>
      </c>
      <c r="I23" s="1269">
        <f t="shared" si="8"/>
        <v>-629791.65599999996</v>
      </c>
      <c r="J23" s="1269">
        <f t="shared" si="8"/>
        <v>-629791.65599999996</v>
      </c>
      <c r="K23" s="1269">
        <f t="shared" si="8"/>
        <v>-629791.65599999996</v>
      </c>
      <c r="L23" s="1269">
        <f t="shared" si="8"/>
        <v>-629791.65599999996</v>
      </c>
      <c r="M23" s="1269">
        <f t="shared" si="8"/>
        <v>-629791.65599999996</v>
      </c>
      <c r="N23" s="1269">
        <f t="shared" si="8"/>
        <v>-629791.65599999996</v>
      </c>
      <c r="O23" s="1259"/>
      <c r="P23" s="1259"/>
      <c r="Q23" s="1259"/>
      <c r="R23" s="1259"/>
      <c r="S23" s="1259"/>
      <c r="T23" s="1259"/>
      <c r="U23" s="1259"/>
      <c r="V23" s="1259"/>
      <c r="W23" s="1259"/>
      <c r="X23" s="1259"/>
      <c r="Y23" s="1259"/>
      <c r="Z23" s="1259"/>
    </row>
    <row r="24" spans="1:26" ht="15.75" customHeight="1">
      <c r="A24" s="1259"/>
      <c r="B24" s="1276" t="s">
        <v>683</v>
      </c>
      <c r="C24" s="1268"/>
      <c r="D24" s="1259"/>
      <c r="E24" s="1269"/>
      <c r="F24" s="1269">
        <f>'[1]Flujo Fondo'!E36/12</f>
        <v>-2583750</v>
      </c>
      <c r="G24" s="1269">
        <f t="shared" si="8"/>
        <v>-2583750</v>
      </c>
      <c r="H24" s="1269">
        <f t="shared" si="8"/>
        <v>-2583750</v>
      </c>
      <c r="I24" s="1269">
        <f t="shared" si="8"/>
        <v>-2583750</v>
      </c>
      <c r="J24" s="1269">
        <f t="shared" si="8"/>
        <v>-2583750</v>
      </c>
      <c r="K24" s="1269">
        <f t="shared" si="8"/>
        <v>-2583750</v>
      </c>
      <c r="L24" s="1269">
        <f t="shared" si="8"/>
        <v>-2583750</v>
      </c>
      <c r="M24" s="1269">
        <f t="shared" si="8"/>
        <v>-2583750</v>
      </c>
      <c r="N24" s="1269">
        <f t="shared" si="8"/>
        <v>-2583750</v>
      </c>
      <c r="O24" s="1259"/>
      <c r="P24" s="1259"/>
      <c r="Q24" s="1259"/>
      <c r="R24" s="1259"/>
      <c r="S24" s="1259"/>
      <c r="T24" s="1259"/>
      <c r="U24" s="1259"/>
      <c r="V24" s="1259"/>
      <c r="W24" s="1259"/>
      <c r="X24" s="1259"/>
      <c r="Y24" s="1259"/>
      <c r="Z24" s="1259"/>
    </row>
    <row r="25" spans="1:26" ht="15.75" customHeight="1">
      <c r="A25" s="1259"/>
      <c r="B25" s="1276"/>
      <c r="C25" s="1268"/>
      <c r="D25" s="1259"/>
      <c r="E25" s="1269"/>
      <c r="F25" s="1269"/>
      <c r="G25" s="1269"/>
      <c r="H25" s="1269"/>
      <c r="I25" s="1269"/>
      <c r="J25" s="1269"/>
      <c r="K25" s="1269"/>
      <c r="L25" s="1269"/>
      <c r="M25" s="1269"/>
      <c r="N25" s="1269"/>
      <c r="O25" s="1259"/>
      <c r="P25" s="1259"/>
      <c r="Q25" s="1259"/>
      <c r="R25" s="1259"/>
      <c r="S25" s="1259"/>
      <c r="T25" s="1259"/>
      <c r="U25" s="1259"/>
      <c r="V25" s="1259"/>
      <c r="W25" s="1259"/>
      <c r="X25" s="1259"/>
      <c r="Y25" s="1259"/>
      <c r="Z25" s="1259"/>
    </row>
    <row r="26" spans="1:26" ht="15.75" customHeight="1">
      <c r="A26" s="1259"/>
      <c r="B26" s="1267"/>
      <c r="C26" s="1268"/>
      <c r="D26" s="1259"/>
      <c r="E26" s="1269"/>
      <c r="F26" s="1269"/>
      <c r="G26" s="1269"/>
      <c r="H26" s="1269"/>
      <c r="I26" s="1269"/>
      <c r="J26" s="1269"/>
      <c r="K26" s="1269"/>
      <c r="L26" s="1269"/>
      <c r="M26" s="1269"/>
      <c r="N26" s="1269"/>
      <c r="O26" s="1259"/>
      <c r="P26" s="1259"/>
      <c r="Q26" s="1259"/>
      <c r="R26" s="1259"/>
      <c r="S26" s="1259"/>
      <c r="T26" s="1259"/>
      <c r="U26" s="1259"/>
      <c r="V26" s="1259"/>
      <c r="W26" s="1259"/>
      <c r="X26" s="1259"/>
      <c r="Y26" s="1259"/>
      <c r="Z26" s="1259"/>
    </row>
    <row r="27" spans="1:26" ht="15.75" customHeight="1">
      <c r="A27" s="1259"/>
      <c r="B27" s="1267"/>
      <c r="C27" s="1268"/>
      <c r="D27" s="1259"/>
      <c r="E27" s="1269"/>
      <c r="F27" s="1269"/>
      <c r="G27" s="1269"/>
      <c r="H27" s="1269"/>
      <c r="I27" s="1269"/>
      <c r="J27" s="1269"/>
      <c r="K27" s="1269"/>
      <c r="L27" s="1269"/>
      <c r="M27" s="1269"/>
      <c r="N27" s="1269"/>
      <c r="O27" s="1259"/>
      <c r="P27" s="1259"/>
      <c r="Q27" s="1259"/>
      <c r="R27" s="1259"/>
      <c r="S27" s="1259"/>
      <c r="T27" s="1259"/>
      <c r="U27" s="1259"/>
      <c r="V27" s="1259"/>
      <c r="W27" s="1259"/>
      <c r="X27" s="1259"/>
      <c r="Y27" s="1259"/>
      <c r="Z27" s="1259"/>
    </row>
    <row r="28" spans="1:26" ht="15.75" customHeight="1">
      <c r="A28" s="1259"/>
      <c r="B28" s="1267"/>
      <c r="C28" s="1268"/>
      <c r="D28" s="1259"/>
      <c r="E28" s="1269"/>
      <c r="F28" s="1269"/>
      <c r="G28" s="1269"/>
      <c r="H28" s="1269"/>
      <c r="I28" s="1269"/>
      <c r="J28" s="1269"/>
      <c r="K28" s="1269"/>
      <c r="L28" s="1269"/>
      <c r="M28" s="1269"/>
      <c r="N28" s="1269"/>
      <c r="O28" s="1259"/>
      <c r="P28" s="1259"/>
      <c r="Q28" s="1259"/>
      <c r="R28" s="1259"/>
      <c r="S28" s="1259"/>
      <c r="T28" s="1259"/>
      <c r="U28" s="1259"/>
      <c r="V28" s="1259"/>
      <c r="W28" s="1259"/>
      <c r="X28" s="1259"/>
      <c r="Y28" s="1259"/>
      <c r="Z28" s="1259"/>
    </row>
    <row r="29" spans="1:26" ht="15.75" customHeight="1">
      <c r="A29" s="1259"/>
      <c r="B29" s="1267"/>
      <c r="C29" s="1268"/>
      <c r="D29" s="1259"/>
      <c r="E29" s="1269"/>
      <c r="F29" s="1269"/>
      <c r="G29" s="1269"/>
      <c r="H29" s="1269"/>
      <c r="I29" s="1269"/>
      <c r="J29" s="1269"/>
      <c r="K29" s="1269"/>
      <c r="L29" s="1269"/>
      <c r="M29" s="1269"/>
      <c r="N29" s="1269"/>
      <c r="O29" s="1259"/>
      <c r="P29" s="1259"/>
      <c r="Q29" s="1259"/>
      <c r="R29" s="1259"/>
      <c r="S29" s="1259"/>
      <c r="T29" s="1259"/>
      <c r="U29" s="1259"/>
      <c r="V29" s="1259"/>
      <c r="W29" s="1259"/>
      <c r="X29" s="1259"/>
      <c r="Y29" s="1259"/>
      <c r="Z29" s="1259"/>
    </row>
    <row r="30" spans="1:26" ht="15.75" customHeight="1">
      <c r="A30" s="1259"/>
      <c r="B30" s="1267"/>
      <c r="C30" s="1268"/>
      <c r="D30" s="1259"/>
      <c r="E30" s="1269"/>
      <c r="F30" s="1269"/>
      <c r="G30" s="1269"/>
      <c r="H30" s="1269"/>
      <c r="I30" s="1269"/>
      <c r="J30" s="1269"/>
      <c r="K30" s="1269"/>
      <c r="L30" s="1269"/>
      <c r="M30" s="1269"/>
      <c r="N30" s="1269"/>
      <c r="O30" s="1259"/>
      <c r="P30" s="1259"/>
      <c r="Q30" s="1259"/>
      <c r="R30" s="1259"/>
      <c r="S30" s="1259"/>
      <c r="T30" s="1259"/>
      <c r="U30" s="1259"/>
      <c r="V30" s="1259"/>
      <c r="W30" s="1259"/>
      <c r="X30" s="1259"/>
      <c r="Y30" s="1259"/>
      <c r="Z30" s="1259"/>
    </row>
    <row r="31" spans="1:26" ht="15.75" customHeight="1">
      <c r="A31" s="1259"/>
      <c r="B31" s="1267"/>
      <c r="C31" s="1268"/>
      <c r="D31" s="1259"/>
      <c r="E31" s="1269"/>
      <c r="F31" s="1269"/>
      <c r="G31" s="1269"/>
      <c r="H31" s="1269"/>
      <c r="I31" s="1269"/>
      <c r="J31" s="1269"/>
      <c r="K31" s="1269"/>
      <c r="L31" s="1269"/>
      <c r="M31" s="1269"/>
      <c r="N31" s="1269"/>
      <c r="O31" s="1259"/>
      <c r="P31" s="1259"/>
      <c r="Q31" s="1259"/>
      <c r="R31" s="1259"/>
      <c r="S31" s="1259"/>
      <c r="T31" s="1259"/>
      <c r="U31" s="1259"/>
      <c r="V31" s="1259"/>
      <c r="W31" s="1259"/>
      <c r="X31" s="1259"/>
      <c r="Y31" s="1259"/>
      <c r="Z31" s="1259"/>
    </row>
    <row r="32" spans="1:26" ht="15.75" customHeight="1">
      <c r="A32" s="1259"/>
      <c r="B32" s="1267"/>
      <c r="C32" s="1268"/>
      <c r="D32" s="1259"/>
      <c r="E32" s="1269"/>
      <c r="F32" s="1269"/>
      <c r="G32" s="1269"/>
      <c r="H32" s="1269"/>
      <c r="I32" s="1269"/>
      <c r="J32" s="1269"/>
      <c r="K32" s="1269"/>
      <c r="L32" s="1269"/>
      <c r="M32" s="1269"/>
      <c r="N32" s="1269"/>
      <c r="O32" s="1259"/>
      <c r="P32" s="1259"/>
      <c r="Q32" s="1259"/>
      <c r="R32" s="1259"/>
      <c r="S32" s="1259"/>
      <c r="T32" s="1259"/>
      <c r="U32" s="1259"/>
      <c r="V32" s="1259"/>
      <c r="W32" s="1259"/>
      <c r="X32" s="1259"/>
      <c r="Y32" s="1259"/>
      <c r="Z32" s="1259"/>
    </row>
    <row r="33" spans="1:26" ht="15.75" customHeight="1">
      <c r="A33" s="1259"/>
      <c r="B33" s="1267"/>
      <c r="C33" s="1268"/>
      <c r="D33" s="1259"/>
      <c r="E33" s="1269"/>
      <c r="F33" s="1269"/>
      <c r="G33" s="1269"/>
      <c r="H33" s="1269"/>
      <c r="I33" s="1269"/>
      <c r="J33" s="1269"/>
      <c r="K33" s="1269"/>
      <c r="L33" s="1269"/>
      <c r="M33" s="1269"/>
      <c r="N33" s="1269"/>
      <c r="O33" s="1259"/>
      <c r="P33" s="1259"/>
      <c r="Q33" s="1259"/>
      <c r="R33" s="1259"/>
      <c r="S33" s="1259"/>
      <c r="T33" s="1259"/>
      <c r="U33" s="1259"/>
      <c r="V33" s="1259"/>
      <c r="W33" s="1259"/>
      <c r="X33" s="1259"/>
      <c r="Y33" s="1259"/>
      <c r="Z33" s="1259"/>
    </row>
    <row r="34" spans="1:26" ht="15.75" customHeight="1">
      <c r="A34" s="1259"/>
      <c r="B34" s="1267"/>
      <c r="C34" s="1268"/>
      <c r="D34" s="1259"/>
      <c r="E34" s="1269"/>
      <c r="F34" s="1269"/>
      <c r="G34" s="1269"/>
      <c r="H34" s="1269"/>
      <c r="I34" s="1269"/>
      <c r="J34" s="1269"/>
      <c r="K34" s="1269"/>
      <c r="L34" s="1269"/>
      <c r="M34" s="1269"/>
      <c r="N34" s="1269"/>
      <c r="O34" s="1259"/>
      <c r="P34" s="1259"/>
      <c r="Q34" s="1259"/>
      <c r="R34" s="1259"/>
      <c r="S34" s="1259"/>
      <c r="T34" s="1259"/>
      <c r="U34" s="1259"/>
      <c r="V34" s="1259"/>
      <c r="W34" s="1259"/>
      <c r="X34" s="1259"/>
      <c r="Y34" s="1259"/>
      <c r="Z34" s="1259"/>
    </row>
    <row r="35" spans="1:26" ht="15.75" customHeight="1">
      <c r="A35" s="1259"/>
      <c r="B35" s="1267"/>
      <c r="C35" s="1268"/>
      <c r="D35" s="1259"/>
      <c r="E35" s="1269"/>
      <c r="F35" s="1269"/>
      <c r="G35" s="1269"/>
      <c r="H35" s="1269"/>
      <c r="I35" s="1269"/>
      <c r="J35" s="1269"/>
      <c r="K35" s="1269"/>
      <c r="L35" s="1269"/>
      <c r="M35" s="1269"/>
      <c r="N35" s="1269"/>
      <c r="O35" s="1259"/>
      <c r="P35" s="1259"/>
      <c r="Q35" s="1259"/>
      <c r="R35" s="1259"/>
      <c r="S35" s="1259"/>
      <c r="T35" s="1259"/>
      <c r="U35" s="1259"/>
      <c r="V35" s="1259"/>
      <c r="W35" s="1259"/>
      <c r="X35" s="1259"/>
      <c r="Y35" s="1259"/>
      <c r="Z35" s="1259"/>
    </row>
    <row r="36" spans="1:26" ht="15.75" customHeight="1">
      <c r="A36" s="1259"/>
      <c r="B36" s="1267" t="s">
        <v>1008</v>
      </c>
      <c r="C36" s="1268"/>
      <c r="D36" s="1259"/>
      <c r="E36" s="1269"/>
      <c r="F36" s="1269"/>
      <c r="G36" s="1269"/>
      <c r="H36" s="1269"/>
      <c r="I36" s="1269"/>
      <c r="J36" s="1269"/>
      <c r="K36" s="1269"/>
      <c r="L36" s="1269"/>
      <c r="M36" s="1269"/>
      <c r="N36" s="1269"/>
      <c r="O36" s="1259"/>
      <c r="P36" s="1259"/>
      <c r="Q36" s="1259"/>
      <c r="R36" s="1259"/>
      <c r="S36" s="1259"/>
      <c r="T36" s="1259"/>
      <c r="U36" s="1259"/>
      <c r="V36" s="1259"/>
      <c r="W36" s="1259"/>
      <c r="X36" s="1259"/>
      <c r="Y36" s="1259"/>
      <c r="Z36" s="1259"/>
    </row>
    <row r="37" spans="1:26" ht="15.75" customHeight="1">
      <c r="A37" s="1259"/>
      <c r="B37" s="1259"/>
      <c r="C37" s="1259"/>
      <c r="D37" s="1259"/>
      <c r="E37" s="1259"/>
      <c r="F37" s="1266"/>
      <c r="G37" s="1266"/>
      <c r="H37" s="1259"/>
      <c r="I37" s="1259"/>
      <c r="J37" s="1259"/>
      <c r="K37" s="1259"/>
      <c r="L37" s="1259"/>
      <c r="M37" s="1259"/>
      <c r="N37" s="1259"/>
      <c r="O37" s="1259"/>
      <c r="P37" s="1259"/>
      <c r="Q37" s="1259"/>
      <c r="R37" s="1259"/>
      <c r="S37" s="1259"/>
      <c r="T37" s="1259"/>
      <c r="U37" s="1259"/>
      <c r="V37" s="1259"/>
      <c r="W37" s="1259"/>
      <c r="X37" s="1259"/>
      <c r="Y37" s="1259"/>
      <c r="Z37" s="1259"/>
    </row>
    <row r="38" spans="1:26" ht="15.75" customHeight="1">
      <c r="A38" s="1259"/>
      <c r="B38" s="1259"/>
      <c r="C38" s="1259"/>
      <c r="D38" s="1259"/>
      <c r="E38" s="1766" t="s">
        <v>1263</v>
      </c>
      <c r="F38" s="1767"/>
      <c r="G38" s="1768"/>
      <c r="H38" s="1259"/>
      <c r="I38" s="1259"/>
      <c r="J38" s="1259"/>
      <c r="K38" s="1259"/>
      <c r="L38" s="1259"/>
      <c r="M38" s="1259"/>
      <c r="N38" s="1259"/>
      <c r="O38" s="1259"/>
      <c r="P38" s="1259"/>
      <c r="Q38" s="1259"/>
      <c r="R38" s="1259"/>
      <c r="S38" s="1259"/>
      <c r="T38" s="1259"/>
      <c r="U38" s="1259"/>
      <c r="V38" s="1259"/>
      <c r="W38" s="1259"/>
      <c r="X38" s="1259"/>
      <c r="Y38" s="1259"/>
      <c r="Z38" s="1259"/>
    </row>
    <row r="39" spans="1:26" ht="15.75" customHeight="1">
      <c r="A39" s="1259"/>
      <c r="B39" s="1277" t="s">
        <v>427</v>
      </c>
      <c r="C39" s="1259"/>
      <c r="D39" s="1259"/>
      <c r="E39" s="1263">
        <v>1</v>
      </c>
      <c r="F39" s="1264">
        <v>2</v>
      </c>
      <c r="G39" s="1265">
        <v>3</v>
      </c>
      <c r="H39" s="1263">
        <v>4</v>
      </c>
      <c r="I39" s="1264">
        <v>5</v>
      </c>
      <c r="J39" s="1265">
        <v>6</v>
      </c>
      <c r="K39" s="1265">
        <v>7</v>
      </c>
      <c r="L39" s="1265">
        <v>8</v>
      </c>
      <c r="M39" s="1265">
        <v>9</v>
      </c>
      <c r="N39" s="1265">
        <v>10</v>
      </c>
      <c r="O39" s="1259"/>
      <c r="P39" s="1259"/>
      <c r="Q39" s="1259"/>
      <c r="R39" s="1259"/>
      <c r="S39" s="1259"/>
      <c r="T39" s="1259"/>
      <c r="U39" s="1259"/>
      <c r="V39" s="1259"/>
      <c r="W39" s="1259"/>
      <c r="X39" s="1259"/>
      <c r="Y39" s="1259"/>
      <c r="Z39" s="1259"/>
    </row>
    <row r="40" spans="1:26" ht="15.75" customHeight="1">
      <c r="A40" s="1259"/>
      <c r="B40" s="1278" t="s">
        <v>641</v>
      </c>
      <c r="C40" s="1259"/>
      <c r="D40" s="1259"/>
      <c r="E40" s="1269"/>
      <c r="F40" s="1269"/>
      <c r="G40" s="1269"/>
      <c r="H40" s="1259"/>
      <c r="I40" s="1259"/>
      <c r="J40" s="1259"/>
      <c r="K40" s="1259"/>
      <c r="L40" s="1259"/>
      <c r="M40" s="1259"/>
      <c r="N40" s="1259"/>
      <c r="O40" s="1259"/>
      <c r="P40" s="1259"/>
      <c r="Q40" s="1259"/>
      <c r="R40" s="1259"/>
      <c r="S40" s="1259"/>
      <c r="T40" s="1259"/>
      <c r="U40" s="1259"/>
      <c r="V40" s="1259"/>
      <c r="W40" s="1259"/>
      <c r="X40" s="1259"/>
      <c r="Y40" s="1259"/>
      <c r="Z40" s="1259"/>
    </row>
    <row r="41" spans="1:26" ht="15.75" customHeight="1">
      <c r="A41" s="1259"/>
      <c r="B41" s="1267"/>
      <c r="C41" s="1259"/>
      <c r="D41" s="1259"/>
      <c r="E41" s="1269"/>
      <c r="F41" s="1269"/>
      <c r="G41" s="1269"/>
      <c r="H41" s="1259"/>
      <c r="I41" s="1259"/>
      <c r="J41" s="1259"/>
      <c r="K41" s="1259"/>
      <c r="L41" s="1259"/>
      <c r="M41" s="1259"/>
      <c r="N41" s="1259"/>
      <c r="O41" s="1259"/>
      <c r="P41" s="1259"/>
      <c r="Q41" s="1259"/>
      <c r="R41" s="1259"/>
      <c r="S41" s="1259"/>
      <c r="T41" s="1259"/>
      <c r="U41" s="1259"/>
      <c r="V41" s="1259"/>
      <c r="W41" s="1259"/>
      <c r="X41" s="1259"/>
      <c r="Y41" s="1259"/>
      <c r="Z41" s="1259"/>
    </row>
    <row r="42" spans="1:26" ht="15.75" customHeight="1">
      <c r="A42" s="1259"/>
      <c r="B42" s="1268" t="s">
        <v>48</v>
      </c>
      <c r="C42" s="1268"/>
      <c r="D42" s="1259"/>
      <c r="E42" s="1269">
        <f t="shared" ref="E42:N42" si="9">+E13</f>
        <v>6297916.5599999996</v>
      </c>
      <c r="F42" s="1269">
        <f t="shared" si="9"/>
        <v>12595833.119999999</v>
      </c>
      <c r="G42" s="1269">
        <f t="shared" si="9"/>
        <v>12595833.119999999</v>
      </c>
      <c r="H42" s="1269">
        <f t="shared" si="9"/>
        <v>62979165.599999994</v>
      </c>
      <c r="I42" s="1269">
        <f t="shared" si="9"/>
        <v>62979165.599999994</v>
      </c>
      <c r="J42" s="1269">
        <f t="shared" si="9"/>
        <v>62979165.599999994</v>
      </c>
      <c r="K42" s="1269">
        <f t="shared" si="9"/>
        <v>62979165.599999994</v>
      </c>
      <c r="L42" s="1269">
        <f t="shared" si="9"/>
        <v>62979165.599999994</v>
      </c>
      <c r="M42" s="1269">
        <f t="shared" si="9"/>
        <v>62979165.599999994</v>
      </c>
      <c r="N42" s="1269">
        <f t="shared" si="9"/>
        <v>62979165.599999994</v>
      </c>
      <c r="O42" s="1259"/>
      <c r="P42" s="1259"/>
      <c r="Q42" s="1259"/>
      <c r="R42" s="1259"/>
      <c r="S42" s="1259"/>
      <c r="T42" s="1259"/>
      <c r="U42" s="1259"/>
      <c r="V42" s="1259"/>
      <c r="W42" s="1259"/>
      <c r="X42" s="1259"/>
      <c r="Y42" s="1259"/>
      <c r="Z42" s="1259"/>
    </row>
    <row r="43" spans="1:26" ht="6" customHeight="1">
      <c r="A43" s="1259"/>
      <c r="B43" s="1268"/>
      <c r="C43" s="1268"/>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row>
    <row r="44" spans="1:26" ht="15.75" customHeight="1">
      <c r="A44" s="1259"/>
      <c r="B44" s="1279" t="s">
        <v>643</v>
      </c>
      <c r="C44" s="1268"/>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row>
    <row r="45" spans="1:26" ht="15.75" customHeight="1">
      <c r="A45" s="1259"/>
      <c r="B45" s="1279"/>
      <c r="C45" s="1268"/>
      <c r="D45" s="1259"/>
      <c r="E45" s="1259"/>
      <c r="F45" s="1259"/>
      <c r="G45" s="1259"/>
      <c r="H45" s="1259"/>
      <c r="I45" s="1259"/>
      <c r="J45" s="1259"/>
      <c r="K45" s="1259"/>
      <c r="L45" s="1259"/>
      <c r="M45" s="1259"/>
      <c r="N45" s="1259"/>
      <c r="O45" s="1259"/>
      <c r="P45" s="1259"/>
      <c r="Q45" s="1259"/>
      <c r="R45" s="1259"/>
      <c r="S45" s="1259"/>
      <c r="T45" s="1259"/>
      <c r="U45" s="1259"/>
      <c r="V45" s="1259"/>
      <c r="W45" s="1259"/>
      <c r="X45" s="1259"/>
      <c r="Y45" s="1259"/>
      <c r="Z45" s="1259"/>
    </row>
    <row r="46" spans="1:26" ht="15.75" customHeight="1">
      <c r="A46" s="1259"/>
      <c r="B46" s="1276" t="s">
        <v>1264</v>
      </c>
      <c r="C46" s="1268"/>
      <c r="D46" s="1259"/>
      <c r="E46" s="1259"/>
      <c r="F46" s="1269"/>
      <c r="G46" s="1269">
        <f>G15</f>
        <v>-30590175</v>
      </c>
      <c r="H46" s="1269">
        <f t="shared" ref="H46:N46" si="10">G46</f>
        <v>-30590175</v>
      </c>
      <c r="I46" s="1269">
        <f t="shared" si="10"/>
        <v>-30590175</v>
      </c>
      <c r="J46" s="1269">
        <f t="shared" si="10"/>
        <v>-30590175</v>
      </c>
      <c r="K46" s="1269">
        <f t="shared" si="10"/>
        <v>-30590175</v>
      </c>
      <c r="L46" s="1269">
        <f t="shared" si="10"/>
        <v>-30590175</v>
      </c>
      <c r="M46" s="1269">
        <f t="shared" si="10"/>
        <v>-30590175</v>
      </c>
      <c r="N46" s="1269">
        <f t="shared" si="10"/>
        <v>-30590175</v>
      </c>
      <c r="O46" s="1259"/>
      <c r="P46" s="1259"/>
      <c r="Q46" s="1259"/>
      <c r="R46" s="1259"/>
      <c r="S46" s="1259"/>
      <c r="T46" s="1259"/>
      <c r="U46" s="1259"/>
      <c r="V46" s="1259"/>
      <c r="W46" s="1259"/>
      <c r="X46" s="1259"/>
      <c r="Y46" s="1259"/>
      <c r="Z46" s="1259"/>
    </row>
    <row r="47" spans="1:26" ht="15.75" customHeight="1">
      <c r="A47" s="1259"/>
      <c r="B47" s="1276" t="s">
        <v>1260</v>
      </c>
      <c r="C47" s="1268"/>
      <c r="D47" s="1259"/>
      <c r="E47" s="1259"/>
      <c r="F47" s="1593">
        <f>F16</f>
        <v>0</v>
      </c>
      <c r="G47" s="1269">
        <f t="shared" ref="G47:N47" si="11">F16</f>
        <v>0</v>
      </c>
      <c r="H47" s="1269">
        <f t="shared" si="11"/>
        <v>0</v>
      </c>
      <c r="I47" s="1269">
        <f t="shared" si="11"/>
        <v>0</v>
      </c>
      <c r="J47" s="1269">
        <f t="shared" si="11"/>
        <v>0</v>
      </c>
      <c r="K47" s="1269">
        <f t="shared" si="11"/>
        <v>0</v>
      </c>
      <c r="L47" s="1269">
        <f t="shared" si="11"/>
        <v>0</v>
      </c>
      <c r="M47" s="1269">
        <f t="shared" si="11"/>
        <v>0</v>
      </c>
      <c r="N47" s="1269">
        <f t="shared" si="11"/>
        <v>0</v>
      </c>
      <c r="O47" s="1259"/>
      <c r="P47" s="1259"/>
      <c r="Q47" s="1259"/>
      <c r="R47" s="1259"/>
      <c r="S47" s="1259"/>
      <c r="T47" s="1259"/>
      <c r="U47" s="1259"/>
      <c r="V47" s="1259"/>
      <c r="W47" s="1259"/>
      <c r="X47" s="1259"/>
      <c r="Y47" s="1259"/>
      <c r="Z47" s="1259"/>
    </row>
    <row r="48" spans="1:26" ht="15.75" customHeight="1">
      <c r="A48" s="1259"/>
      <c r="B48" s="1276"/>
      <c r="C48" s="1268"/>
      <c r="D48" s="1259"/>
      <c r="E48" s="1259"/>
      <c r="F48" s="1259"/>
      <c r="G48" s="1259"/>
      <c r="H48" s="1259"/>
      <c r="I48" s="1259"/>
      <c r="J48" s="1259"/>
      <c r="K48" s="1259"/>
      <c r="L48" s="1259"/>
      <c r="M48" s="1259"/>
      <c r="N48" s="1259"/>
      <c r="O48" s="1259"/>
      <c r="P48" s="1259"/>
      <c r="Q48" s="1259"/>
      <c r="R48" s="1259"/>
      <c r="S48" s="1259"/>
      <c r="T48" s="1259"/>
      <c r="U48" s="1259"/>
      <c r="V48" s="1259"/>
      <c r="W48" s="1259"/>
      <c r="X48" s="1259"/>
      <c r="Y48" s="1259"/>
      <c r="Z48" s="1259"/>
    </row>
    <row r="49" spans="1:26" ht="15.75" customHeight="1">
      <c r="A49" s="1259"/>
      <c r="B49" s="1276" t="s">
        <v>1261</v>
      </c>
      <c r="C49" s="1268"/>
      <c r="D49" s="1259"/>
      <c r="E49" s="1259"/>
      <c r="F49" s="1269">
        <f>F18</f>
        <v>-8000000</v>
      </c>
      <c r="G49" s="1269">
        <f t="shared" ref="G49:N49" si="12">F18</f>
        <v>-8000000</v>
      </c>
      <c r="H49" s="1269">
        <f t="shared" si="12"/>
        <v>-8000000</v>
      </c>
      <c r="I49" s="1269">
        <f t="shared" si="12"/>
        <v>-8000000</v>
      </c>
      <c r="J49" s="1269">
        <f t="shared" si="12"/>
        <v>-8000000</v>
      </c>
      <c r="K49" s="1269">
        <f t="shared" si="12"/>
        <v>-8000000</v>
      </c>
      <c r="L49" s="1269">
        <f t="shared" si="12"/>
        <v>-8000000</v>
      </c>
      <c r="M49" s="1269">
        <f t="shared" si="12"/>
        <v>-8000000</v>
      </c>
      <c r="N49" s="1269">
        <f t="shared" si="12"/>
        <v>-8000000</v>
      </c>
      <c r="O49" s="1259"/>
      <c r="P49" s="1259"/>
      <c r="Q49" s="1259"/>
      <c r="R49" s="1259"/>
      <c r="S49" s="1259"/>
      <c r="T49" s="1259"/>
      <c r="U49" s="1259"/>
      <c r="V49" s="1259"/>
      <c r="W49" s="1259"/>
      <c r="X49" s="1259"/>
      <c r="Y49" s="1259"/>
      <c r="Z49" s="1259"/>
    </row>
    <row r="50" spans="1:26" ht="15.75" customHeight="1">
      <c r="A50" s="1259"/>
      <c r="B50" s="1276"/>
      <c r="C50" s="1268"/>
      <c r="D50" s="1259"/>
      <c r="E50" s="1259"/>
      <c r="F50" s="1269"/>
      <c r="G50" s="1269"/>
      <c r="H50" s="1269"/>
      <c r="I50" s="1269"/>
      <c r="J50" s="1269"/>
      <c r="K50" s="1269"/>
      <c r="L50" s="1269"/>
      <c r="M50" s="1269"/>
      <c r="N50" s="1269"/>
      <c r="O50" s="1259"/>
      <c r="P50" s="1259"/>
      <c r="Q50" s="1259"/>
      <c r="R50" s="1259"/>
      <c r="S50" s="1259"/>
      <c r="T50" s="1259"/>
      <c r="U50" s="1259"/>
      <c r="V50" s="1259"/>
      <c r="W50" s="1259"/>
      <c r="X50" s="1259"/>
      <c r="Y50" s="1259"/>
      <c r="Z50" s="1259"/>
    </row>
    <row r="51" spans="1:26" ht="15.75" customHeight="1">
      <c r="A51" s="1259"/>
      <c r="B51" s="1276" t="s">
        <v>533</v>
      </c>
      <c r="C51" s="1268"/>
      <c r="D51" s="1259"/>
      <c r="E51" s="1269"/>
      <c r="F51" s="1269">
        <f>F20</f>
        <v>-1625000</v>
      </c>
      <c r="G51" s="1269">
        <f>+F51</f>
        <v>-1625000</v>
      </c>
      <c r="H51" s="1269">
        <f>+G51</f>
        <v>-1625000</v>
      </c>
      <c r="I51" s="1269">
        <f t="shared" ref="I51:N51" si="13">+H51</f>
        <v>-1625000</v>
      </c>
      <c r="J51" s="1269">
        <f t="shared" si="13"/>
        <v>-1625000</v>
      </c>
      <c r="K51" s="1269">
        <f t="shared" si="13"/>
        <v>-1625000</v>
      </c>
      <c r="L51" s="1269">
        <f t="shared" si="13"/>
        <v>-1625000</v>
      </c>
      <c r="M51" s="1269">
        <f t="shared" si="13"/>
        <v>-1625000</v>
      </c>
      <c r="N51" s="1269">
        <f t="shared" si="13"/>
        <v>-1625000</v>
      </c>
      <c r="O51" s="1259"/>
      <c r="P51" s="1259"/>
      <c r="Q51" s="1259"/>
      <c r="R51" s="1259"/>
      <c r="S51" s="1259"/>
      <c r="T51" s="1259"/>
      <c r="U51" s="1259"/>
      <c r="V51" s="1259"/>
      <c r="W51" s="1259"/>
      <c r="X51" s="1259"/>
      <c r="Y51" s="1259"/>
      <c r="Z51" s="1259"/>
    </row>
    <row r="52" spans="1:26" ht="15.75" customHeight="1">
      <c r="A52" s="1259"/>
      <c r="B52" s="1276" t="s">
        <v>534</v>
      </c>
      <c r="C52" s="1268"/>
      <c r="D52" s="1259"/>
      <c r="E52" s="1269"/>
      <c r="F52" s="1269">
        <f>F21</f>
        <v>-866666.66666666663</v>
      </c>
      <c r="G52" s="1269">
        <f>+F52</f>
        <v>-866666.66666666663</v>
      </c>
      <c r="H52" s="1269">
        <f t="shared" ref="H52:N52" si="14">G20</f>
        <v>-1625000</v>
      </c>
      <c r="I52" s="1269">
        <f t="shared" si="14"/>
        <v>-1625000</v>
      </c>
      <c r="J52" s="1269">
        <f t="shared" si="14"/>
        <v>-1625000</v>
      </c>
      <c r="K52" s="1269">
        <f t="shared" si="14"/>
        <v>-1625000</v>
      </c>
      <c r="L52" s="1269">
        <f t="shared" si="14"/>
        <v>-1625000</v>
      </c>
      <c r="M52" s="1269">
        <f t="shared" si="14"/>
        <v>-1625000</v>
      </c>
      <c r="N52" s="1269">
        <f t="shared" si="14"/>
        <v>-1625000</v>
      </c>
      <c r="O52" s="1259"/>
      <c r="P52" s="1259"/>
      <c r="Q52" s="1259"/>
      <c r="R52" s="1259"/>
      <c r="S52" s="1259"/>
      <c r="T52" s="1259"/>
      <c r="U52" s="1259"/>
      <c r="V52" s="1259"/>
      <c r="W52" s="1259"/>
      <c r="X52" s="1259"/>
      <c r="Y52" s="1259"/>
      <c r="Z52" s="1259"/>
    </row>
    <row r="53" spans="1:26" ht="15.75" customHeight="1">
      <c r="A53" s="1259"/>
      <c r="B53" s="1276" t="s">
        <v>535</v>
      </c>
      <c r="C53" s="1268"/>
      <c r="D53" s="1259"/>
      <c r="E53" s="1269"/>
      <c r="F53" s="1269">
        <f>F22</f>
        <v>-3250000</v>
      </c>
      <c r="G53" s="1269">
        <f>+F53</f>
        <v>-3250000</v>
      </c>
      <c r="H53" s="1269">
        <f t="shared" ref="H53:N53" si="15">G22</f>
        <v>-3250000</v>
      </c>
      <c r="I53" s="1269">
        <f t="shared" si="15"/>
        <v>-3250000</v>
      </c>
      <c r="J53" s="1269">
        <f t="shared" si="15"/>
        <v>-3250000</v>
      </c>
      <c r="K53" s="1269">
        <f t="shared" si="15"/>
        <v>-3250000</v>
      </c>
      <c r="L53" s="1269">
        <f t="shared" si="15"/>
        <v>-3250000</v>
      </c>
      <c r="M53" s="1269">
        <f t="shared" si="15"/>
        <v>-3250000</v>
      </c>
      <c r="N53" s="1269">
        <f t="shared" si="15"/>
        <v>-3250000</v>
      </c>
      <c r="O53" s="1259"/>
      <c r="P53" s="1259"/>
      <c r="Q53" s="1259"/>
      <c r="R53" s="1259"/>
      <c r="S53" s="1259"/>
      <c r="T53" s="1259"/>
      <c r="U53" s="1259"/>
      <c r="V53" s="1259"/>
      <c r="W53" s="1259"/>
      <c r="X53" s="1259"/>
      <c r="Y53" s="1259"/>
      <c r="Z53" s="1259"/>
    </row>
    <row r="54" spans="1:26" ht="15.75" customHeight="1">
      <c r="A54" s="1259"/>
      <c r="B54" s="1276" t="s">
        <v>1262</v>
      </c>
      <c r="C54" s="1268"/>
      <c r="D54" s="1259"/>
      <c r="E54" s="1269"/>
      <c r="F54" s="1269">
        <f>F23</f>
        <v>-629791.65599999996</v>
      </c>
      <c r="G54" s="1269">
        <f>+F54</f>
        <v>-629791.65599999996</v>
      </c>
      <c r="H54" s="1269">
        <f t="shared" ref="H54:N54" si="16">(H46+H47)*12%</f>
        <v>-3670821</v>
      </c>
      <c r="I54" s="1269">
        <f t="shared" si="16"/>
        <v>-3670821</v>
      </c>
      <c r="J54" s="1269">
        <f t="shared" si="16"/>
        <v>-3670821</v>
      </c>
      <c r="K54" s="1269">
        <f t="shared" si="16"/>
        <v>-3670821</v>
      </c>
      <c r="L54" s="1269">
        <f t="shared" si="16"/>
        <v>-3670821</v>
      </c>
      <c r="M54" s="1269">
        <f t="shared" si="16"/>
        <v>-3670821</v>
      </c>
      <c r="N54" s="1269">
        <f t="shared" si="16"/>
        <v>-3670821</v>
      </c>
      <c r="O54" s="1259"/>
      <c r="P54" s="1259"/>
      <c r="Q54" s="1259"/>
      <c r="R54" s="1259"/>
      <c r="S54" s="1259"/>
      <c r="T54" s="1259"/>
      <c r="U54" s="1259"/>
      <c r="V54" s="1259"/>
      <c r="W54" s="1259"/>
      <c r="X54" s="1259"/>
      <c r="Y54" s="1259"/>
      <c r="Z54" s="1259"/>
    </row>
    <row r="55" spans="1:26" ht="15.75" customHeight="1">
      <c r="A55" s="1259"/>
      <c r="B55" s="1276" t="s">
        <v>683</v>
      </c>
      <c r="C55" s="1268"/>
      <c r="D55" s="1259"/>
      <c r="E55" s="1269"/>
      <c r="F55" s="1269">
        <f>F24</f>
        <v>-2583750</v>
      </c>
      <c r="G55" s="1269">
        <f>+F55</f>
        <v>-2583750</v>
      </c>
      <c r="H55" s="1269">
        <f t="shared" ref="H55:N55" si="17">G24</f>
        <v>-2583750</v>
      </c>
      <c r="I55" s="1269">
        <f t="shared" si="17"/>
        <v>-2583750</v>
      </c>
      <c r="J55" s="1269">
        <f t="shared" si="17"/>
        <v>-2583750</v>
      </c>
      <c r="K55" s="1269">
        <f t="shared" si="17"/>
        <v>-2583750</v>
      </c>
      <c r="L55" s="1269">
        <f t="shared" si="17"/>
        <v>-2583750</v>
      </c>
      <c r="M55" s="1269">
        <f t="shared" si="17"/>
        <v>-2583750</v>
      </c>
      <c r="N55" s="1269">
        <f t="shared" si="17"/>
        <v>-2583750</v>
      </c>
      <c r="O55" s="1259"/>
      <c r="P55" s="1259"/>
      <c r="Q55" s="1259"/>
      <c r="R55" s="1259"/>
      <c r="S55" s="1259"/>
      <c r="T55" s="1259"/>
      <c r="U55" s="1259"/>
      <c r="V55" s="1259"/>
      <c r="W55" s="1259"/>
      <c r="X55" s="1259"/>
      <c r="Y55" s="1259"/>
      <c r="Z55" s="1259"/>
    </row>
    <row r="56" spans="1:26" ht="15.75" customHeight="1">
      <c r="A56" s="1259"/>
      <c r="B56" s="1276"/>
      <c r="C56" s="1268"/>
      <c r="D56" s="1259"/>
      <c r="E56" s="1269"/>
      <c r="F56" s="1269"/>
      <c r="G56" s="1269"/>
      <c r="H56" s="1269"/>
      <c r="I56" s="1269"/>
      <c r="J56" s="1269"/>
      <c r="K56" s="1269"/>
      <c r="L56" s="1269"/>
      <c r="M56" s="1269"/>
      <c r="N56" s="1269"/>
      <c r="O56" s="1259"/>
      <c r="P56" s="1259"/>
      <c r="Q56" s="1259"/>
      <c r="R56" s="1259"/>
      <c r="S56" s="1259"/>
      <c r="T56" s="1259"/>
      <c r="U56" s="1259"/>
      <c r="V56" s="1259"/>
      <c r="W56" s="1259"/>
      <c r="X56" s="1259"/>
      <c r="Y56" s="1259"/>
      <c r="Z56" s="1259"/>
    </row>
    <row r="57" spans="1:26" ht="15.75" customHeight="1">
      <c r="A57" s="1259"/>
      <c r="B57" s="1276"/>
      <c r="C57" s="1268"/>
      <c r="D57" s="1259"/>
      <c r="E57" s="1269"/>
      <c r="F57" s="1269"/>
      <c r="G57" s="1269"/>
      <c r="H57" s="1269"/>
      <c r="I57" s="1269"/>
      <c r="J57" s="1269"/>
      <c r="K57" s="1269"/>
      <c r="L57" s="1269"/>
      <c r="M57" s="1269"/>
      <c r="N57" s="1269"/>
      <c r="O57" s="1259"/>
      <c r="P57" s="1259"/>
      <c r="Q57" s="1259"/>
      <c r="R57" s="1259"/>
      <c r="S57" s="1259"/>
      <c r="T57" s="1259"/>
      <c r="U57" s="1259"/>
      <c r="V57" s="1259"/>
      <c r="W57" s="1259"/>
      <c r="X57" s="1259"/>
      <c r="Y57" s="1259"/>
      <c r="Z57" s="1259"/>
    </row>
    <row r="58" spans="1:26" ht="15.75" customHeight="1">
      <c r="A58" s="1259"/>
      <c r="B58" s="1276"/>
      <c r="C58" s="1268"/>
      <c r="D58" s="1259"/>
      <c r="E58" s="1269"/>
      <c r="F58" s="1269"/>
      <c r="G58" s="1269"/>
      <c r="H58" s="1269"/>
      <c r="I58" s="1269"/>
      <c r="J58" s="1269"/>
      <c r="K58" s="1269"/>
      <c r="L58" s="1269"/>
      <c r="M58" s="1269"/>
      <c r="N58" s="1269"/>
      <c r="O58" s="1259"/>
      <c r="P58" s="1259"/>
      <c r="Q58" s="1259"/>
      <c r="R58" s="1259"/>
      <c r="S58" s="1259"/>
      <c r="T58" s="1259"/>
      <c r="U58" s="1259"/>
      <c r="V58" s="1259"/>
      <c r="W58" s="1259"/>
      <c r="X58" s="1259"/>
      <c r="Y58" s="1259"/>
      <c r="Z58" s="1259"/>
    </row>
    <row r="59" spans="1:26" ht="15.75" customHeight="1">
      <c r="A59" s="1259"/>
      <c r="B59" s="1276"/>
      <c r="C59" s="1268"/>
      <c r="D59" s="1259"/>
      <c r="E59" s="1269"/>
      <c r="F59" s="1269"/>
      <c r="G59" s="1269"/>
      <c r="H59" s="1269"/>
      <c r="I59" s="1269"/>
      <c r="J59" s="1269"/>
      <c r="K59" s="1269"/>
      <c r="L59" s="1269"/>
      <c r="M59" s="1269"/>
      <c r="N59" s="1269"/>
      <c r="O59" s="1259"/>
      <c r="P59" s="1259"/>
      <c r="Q59" s="1259"/>
      <c r="R59" s="1259"/>
      <c r="S59" s="1259"/>
      <c r="T59" s="1259"/>
      <c r="U59" s="1259"/>
      <c r="V59" s="1259"/>
      <c r="W59" s="1259"/>
      <c r="X59" s="1259"/>
      <c r="Y59" s="1259"/>
      <c r="Z59" s="1259"/>
    </row>
    <row r="60" spans="1:26" ht="15.75" customHeight="1">
      <c r="A60" s="1259"/>
      <c r="B60" s="1276"/>
      <c r="C60" s="1268"/>
      <c r="D60" s="1259"/>
      <c r="E60" s="1269"/>
      <c r="F60" s="1269"/>
      <c r="G60" s="1269"/>
      <c r="H60" s="1269"/>
      <c r="I60" s="1269"/>
      <c r="J60" s="1269"/>
      <c r="K60" s="1269"/>
      <c r="L60" s="1269"/>
      <c r="M60" s="1269"/>
      <c r="N60" s="1269"/>
      <c r="O60" s="1259"/>
      <c r="P60" s="1259"/>
      <c r="Q60" s="1259"/>
      <c r="R60" s="1259"/>
      <c r="S60" s="1259"/>
      <c r="T60" s="1259"/>
      <c r="U60" s="1259"/>
      <c r="V60" s="1259"/>
      <c r="W60" s="1259"/>
      <c r="X60" s="1259"/>
      <c r="Y60" s="1259"/>
      <c r="Z60" s="1259"/>
    </row>
    <row r="61" spans="1:26" ht="15.75" customHeight="1">
      <c r="A61" s="1259"/>
      <c r="B61" s="1276"/>
      <c r="C61" s="1268"/>
      <c r="D61" s="1259"/>
      <c r="E61" s="1269"/>
      <c r="F61" s="1269"/>
      <c r="G61" s="1269"/>
      <c r="H61" s="1269"/>
      <c r="I61" s="1269"/>
      <c r="J61" s="1269"/>
      <c r="K61" s="1269"/>
      <c r="L61" s="1269"/>
      <c r="M61" s="1269"/>
      <c r="N61" s="1269"/>
      <c r="O61" s="1259"/>
      <c r="P61" s="1259"/>
      <c r="Q61" s="1259"/>
      <c r="R61" s="1259"/>
      <c r="S61" s="1259"/>
      <c r="T61" s="1259"/>
      <c r="U61" s="1259"/>
      <c r="V61" s="1259"/>
      <c r="W61" s="1259"/>
      <c r="X61" s="1259"/>
      <c r="Y61" s="1259"/>
      <c r="Z61" s="1259"/>
    </row>
    <row r="62" spans="1:26" ht="15.75" customHeight="1">
      <c r="A62" s="1259"/>
      <c r="B62" s="1276"/>
      <c r="C62" s="1268"/>
      <c r="D62" s="1259"/>
      <c r="E62" s="1269"/>
      <c r="F62" s="1269"/>
      <c r="G62" s="1269"/>
      <c r="H62" s="1269"/>
      <c r="I62" s="1269"/>
      <c r="J62" s="1269"/>
      <c r="K62" s="1269"/>
      <c r="L62" s="1269"/>
      <c r="M62" s="1269"/>
      <c r="N62" s="1269"/>
      <c r="O62" s="1259"/>
      <c r="P62" s="1259"/>
      <c r="Q62" s="1259"/>
      <c r="R62" s="1259"/>
      <c r="S62" s="1259"/>
      <c r="T62" s="1259"/>
      <c r="U62" s="1259"/>
      <c r="V62" s="1259"/>
      <c r="W62" s="1259"/>
      <c r="X62" s="1259"/>
      <c r="Y62" s="1259"/>
      <c r="Z62" s="1259"/>
    </row>
    <row r="63" spans="1:26" ht="3" customHeight="1">
      <c r="A63" s="1259"/>
      <c r="B63" s="1276"/>
      <c r="C63" s="1280"/>
      <c r="D63" s="1273"/>
      <c r="E63" s="1275"/>
      <c r="F63" s="1275"/>
      <c r="G63" s="1275"/>
      <c r="H63" s="1273"/>
      <c r="I63" s="1273"/>
      <c r="J63" s="1273"/>
      <c r="K63" s="1273"/>
      <c r="L63" s="1273"/>
      <c r="M63" s="1273"/>
      <c r="N63" s="1273"/>
      <c r="O63" s="1259"/>
      <c r="P63" s="1259"/>
      <c r="Q63" s="1259"/>
      <c r="R63" s="1259"/>
      <c r="S63" s="1259"/>
      <c r="T63" s="1259"/>
      <c r="U63" s="1259"/>
      <c r="V63" s="1259"/>
      <c r="W63" s="1259"/>
      <c r="X63" s="1259"/>
      <c r="Y63" s="1259"/>
      <c r="Z63" s="1259"/>
    </row>
    <row r="64" spans="1:26" ht="15.75" customHeight="1">
      <c r="A64" s="1259"/>
      <c r="B64" s="1276"/>
      <c r="C64" s="1268"/>
      <c r="D64" s="1259"/>
      <c r="E64" s="1269">
        <f t="shared" ref="E64:N64" si="18">SUM(E42:E63)</f>
        <v>6297916.5599999996</v>
      </c>
      <c r="F64" s="1269">
        <f t="shared" si="18"/>
        <v>-4359375.2026666673</v>
      </c>
      <c r="G64" s="1269">
        <f t="shared" si="18"/>
        <v>-34949550.20266667</v>
      </c>
      <c r="H64" s="1269">
        <f t="shared" si="18"/>
        <v>11634419.599999994</v>
      </c>
      <c r="I64" s="1269">
        <f t="shared" si="18"/>
        <v>11634419.599999994</v>
      </c>
      <c r="J64" s="1269">
        <f t="shared" si="18"/>
        <v>11634419.599999994</v>
      </c>
      <c r="K64" s="1269">
        <f t="shared" si="18"/>
        <v>11634419.599999994</v>
      </c>
      <c r="L64" s="1269">
        <f t="shared" si="18"/>
        <v>11634419.599999994</v>
      </c>
      <c r="M64" s="1269">
        <f t="shared" si="18"/>
        <v>11634419.599999994</v>
      </c>
      <c r="N64" s="1269">
        <f t="shared" si="18"/>
        <v>11634419.599999994</v>
      </c>
      <c r="O64" s="1259"/>
      <c r="P64" s="1259"/>
      <c r="Q64" s="1259"/>
      <c r="R64" s="1259"/>
      <c r="S64" s="1259"/>
      <c r="T64" s="1259"/>
      <c r="U64" s="1259"/>
      <c r="V64" s="1259"/>
      <c r="W64" s="1259"/>
      <c r="X64" s="1259"/>
      <c r="Y64" s="1259"/>
      <c r="Z64" s="1259"/>
    </row>
    <row r="65" spans="1:26" ht="15.75" customHeight="1">
      <c r="A65" s="1262"/>
      <c r="B65" s="1281" t="s">
        <v>657</v>
      </c>
      <c r="C65" s="1282"/>
      <c r="D65" s="1283"/>
      <c r="E65" s="1284">
        <f>+E64</f>
        <v>6297916.5599999996</v>
      </c>
      <c r="F65" s="1285">
        <f t="shared" ref="F65:N65" si="19">+E65+F64</f>
        <v>1938541.3573333323</v>
      </c>
      <c r="G65" s="1286">
        <f t="shared" si="19"/>
        <v>-33011008.845333338</v>
      </c>
      <c r="H65" s="1287">
        <f t="shared" si="19"/>
        <v>-21376589.245333344</v>
      </c>
      <c r="I65" s="1287">
        <f t="shared" si="19"/>
        <v>-9742169.6453333497</v>
      </c>
      <c r="J65" s="1287">
        <f t="shared" si="19"/>
        <v>1892249.9546666443</v>
      </c>
      <c r="K65" s="1287">
        <f t="shared" si="19"/>
        <v>13526669.554666638</v>
      </c>
      <c r="L65" s="1287">
        <f t="shared" si="19"/>
        <v>25161089.154666632</v>
      </c>
      <c r="M65" s="1287">
        <f t="shared" si="19"/>
        <v>36795508.754666626</v>
      </c>
      <c r="N65" s="1287">
        <f t="shared" si="19"/>
        <v>48429928.35466662</v>
      </c>
      <c r="O65" s="1262"/>
      <c r="P65" s="1262"/>
      <c r="Q65" s="1262"/>
      <c r="R65" s="1262"/>
      <c r="S65" s="1262"/>
      <c r="T65" s="1262"/>
      <c r="U65" s="1262"/>
      <c r="V65" s="1262"/>
      <c r="W65" s="1262"/>
      <c r="X65" s="1262"/>
      <c r="Y65" s="1262"/>
      <c r="Z65" s="1262"/>
    </row>
    <row r="66" spans="1:26" ht="15.75" customHeight="1">
      <c r="A66" s="1259"/>
      <c r="B66" s="1268"/>
      <c r="C66" s="1268"/>
      <c r="D66" s="1259"/>
      <c r="E66" s="1269"/>
      <c r="F66" s="1269"/>
      <c r="G66" s="1269"/>
      <c r="H66" s="1259"/>
      <c r="I66" s="1259"/>
      <c r="J66" s="1259"/>
      <c r="K66" s="1259"/>
      <c r="L66" s="1259"/>
      <c r="M66" s="1259"/>
      <c r="N66" s="1259"/>
      <c r="O66" s="1259"/>
      <c r="P66" s="1259"/>
      <c r="Q66" s="1259"/>
      <c r="R66" s="1259"/>
      <c r="S66" s="1259"/>
      <c r="T66" s="1259"/>
      <c r="U66" s="1259"/>
      <c r="V66" s="1259"/>
      <c r="W66" s="1259"/>
      <c r="X66" s="1259"/>
      <c r="Y66" s="1259"/>
      <c r="Z66" s="1259"/>
    </row>
    <row r="67" spans="1:26" ht="15.75" customHeight="1">
      <c r="A67" s="1259"/>
      <c r="B67" s="1259"/>
      <c r="C67" s="1259"/>
      <c r="D67" s="1259"/>
      <c r="E67" s="1259"/>
      <c r="F67" s="1259"/>
      <c r="G67" s="1259"/>
      <c r="H67" s="1259"/>
      <c r="I67" s="1259"/>
      <c r="J67" s="1259"/>
      <c r="K67" s="1259"/>
      <c r="L67" s="1259"/>
      <c r="M67" s="1259"/>
      <c r="N67" s="1259"/>
      <c r="O67" s="1259"/>
      <c r="P67" s="1259"/>
      <c r="Q67" s="1259"/>
      <c r="R67" s="1259"/>
      <c r="S67" s="1259"/>
      <c r="T67" s="1259"/>
      <c r="U67" s="1259"/>
      <c r="V67" s="1259"/>
      <c r="W67" s="1259"/>
      <c r="X67" s="1259"/>
      <c r="Y67" s="1259"/>
      <c r="Z67" s="1259"/>
    </row>
    <row r="68" spans="1:26" ht="30" customHeight="1">
      <c r="A68" s="1288"/>
      <c r="B68" s="1289" t="s">
        <v>700</v>
      </c>
      <c r="C68" s="1288"/>
      <c r="D68" s="1290" t="s">
        <v>177</v>
      </c>
      <c r="E68" s="1290" t="s">
        <v>237</v>
      </c>
      <c r="F68" s="1290" t="s">
        <v>670</v>
      </c>
      <c r="G68" s="1290" t="s">
        <v>671</v>
      </c>
      <c r="H68" s="1288"/>
      <c r="I68" s="1288"/>
      <c r="J68" s="1288"/>
      <c r="K68" s="1288"/>
      <c r="L68" s="1288"/>
      <c r="M68" s="1288"/>
      <c r="N68" s="1288"/>
      <c r="O68" s="1288"/>
      <c r="P68" s="1288"/>
      <c r="Q68" s="1288"/>
      <c r="R68" s="1288"/>
      <c r="S68" s="1288"/>
      <c r="T68" s="1288"/>
      <c r="U68" s="1288"/>
      <c r="V68" s="1288"/>
      <c r="W68" s="1288"/>
      <c r="X68" s="1288"/>
      <c r="Y68" s="1288"/>
      <c r="Z68" s="1288"/>
    </row>
    <row r="69" spans="1:26" ht="15.75" customHeight="1">
      <c r="A69" s="1259"/>
      <c r="B69" s="1268" t="s">
        <v>818</v>
      </c>
      <c r="C69" s="1259"/>
      <c r="D69" s="1291">
        <v>0</v>
      </c>
      <c r="E69" s="1291">
        <f>+D69</f>
        <v>0</v>
      </c>
      <c r="F69" s="1292">
        <v>0</v>
      </c>
      <c r="G69" s="1293">
        <f>-G65</f>
        <v>33011008.845333338</v>
      </c>
      <c r="H69" s="1259"/>
      <c r="I69" s="1259"/>
      <c r="J69" s="1259"/>
      <c r="K69" s="1259"/>
      <c r="L69" s="1259"/>
      <c r="M69" s="1259"/>
      <c r="N69" s="1259"/>
      <c r="O69" s="1259"/>
      <c r="P69" s="1259"/>
      <c r="Q69" s="1259"/>
      <c r="R69" s="1259"/>
      <c r="S69" s="1259"/>
      <c r="T69" s="1259"/>
      <c r="U69" s="1259"/>
      <c r="V69" s="1259"/>
      <c r="W69" s="1259"/>
      <c r="X69" s="1259"/>
      <c r="Y69" s="1259"/>
      <c r="Z69" s="1259"/>
    </row>
    <row r="70" spans="1:26" ht="15.75" customHeight="1">
      <c r="A70" s="1259"/>
      <c r="B70" s="1268" t="s">
        <v>451</v>
      </c>
      <c r="C70" s="1259"/>
      <c r="D70" s="1291">
        <f>'[1]Flujo Fondo'!E12</f>
        <v>60000</v>
      </c>
      <c r="E70" s="1294">
        <v>0</v>
      </c>
      <c r="F70" s="1295">
        <f>+G69</f>
        <v>33011008.845333338</v>
      </c>
      <c r="G70" s="1292">
        <f>+F70*E71</f>
        <v>19256421.826444443</v>
      </c>
      <c r="H70" s="1259"/>
      <c r="I70" s="1259"/>
      <c r="J70" s="1259"/>
      <c r="K70" s="1259"/>
      <c r="L70" s="1259"/>
      <c r="M70" s="1259"/>
      <c r="N70" s="1259"/>
      <c r="O70" s="1259"/>
      <c r="P70" s="1259"/>
      <c r="Q70" s="1259"/>
      <c r="R70" s="1259"/>
      <c r="S70" s="1259"/>
      <c r="T70" s="1259"/>
      <c r="U70" s="1259"/>
      <c r="V70" s="1259"/>
      <c r="W70" s="1259"/>
      <c r="X70" s="1259"/>
      <c r="Y70" s="1259"/>
      <c r="Z70" s="1259"/>
    </row>
    <row r="71" spans="1:26" ht="15.75" customHeight="1">
      <c r="A71" s="1259"/>
      <c r="B71" s="1268" t="s">
        <v>632</v>
      </c>
      <c r="C71" s="1259"/>
      <c r="D71" s="1291">
        <f>'[1]Flujo Fondo'!F12</f>
        <v>95000</v>
      </c>
      <c r="E71" s="1294">
        <f>+D71/D70-1</f>
        <v>0.58333333333333326</v>
      </c>
      <c r="F71" s="1296">
        <f>+F70+G70</f>
        <v>52267430.671777785</v>
      </c>
      <c r="G71" s="1292">
        <f>+E72*F71</f>
        <v>30260091.44155556</v>
      </c>
      <c r="H71" s="1259"/>
      <c r="I71" s="1259"/>
      <c r="J71" s="1259"/>
      <c r="K71" s="1259"/>
      <c r="L71" s="1259"/>
      <c r="M71" s="1259"/>
      <c r="N71" s="1259"/>
      <c r="O71" s="1259"/>
      <c r="P71" s="1259"/>
      <c r="Q71" s="1259"/>
      <c r="R71" s="1259"/>
      <c r="S71" s="1259"/>
      <c r="T71" s="1259"/>
      <c r="U71" s="1259"/>
      <c r="V71" s="1259"/>
      <c r="W71" s="1259"/>
      <c r="X71" s="1259"/>
      <c r="Y71" s="1259"/>
      <c r="Z71" s="1259"/>
    </row>
    <row r="72" spans="1:26" ht="15.75" customHeight="1">
      <c r="A72" s="1259"/>
      <c r="B72" s="1268" t="s">
        <v>793</v>
      </c>
      <c r="C72" s="1259"/>
      <c r="D72" s="1291">
        <f>'[1]Flujo Fondo'!G12</f>
        <v>150000</v>
      </c>
      <c r="E72" s="1294">
        <f>+D72/D71-1</f>
        <v>0.57894736842105265</v>
      </c>
      <c r="F72" s="1296">
        <f>+F71+G71</f>
        <v>82527522.113333344</v>
      </c>
      <c r="G72" s="1292">
        <f>+E73*F72</f>
        <v>22007339.230222221</v>
      </c>
      <c r="H72" s="1259"/>
      <c r="I72" s="1259"/>
      <c r="J72" s="1259"/>
      <c r="K72" s="1259"/>
      <c r="L72" s="1259"/>
      <c r="M72" s="1259"/>
      <c r="N72" s="1259"/>
      <c r="O72" s="1259"/>
      <c r="P72" s="1259"/>
      <c r="Q72" s="1259"/>
      <c r="R72" s="1259"/>
      <c r="S72" s="1259"/>
      <c r="T72" s="1259"/>
      <c r="U72" s="1259"/>
      <c r="V72" s="1259"/>
      <c r="W72" s="1259"/>
      <c r="X72" s="1259"/>
      <c r="Y72" s="1259"/>
      <c r="Z72" s="1259"/>
    </row>
    <row r="73" spans="1:26" ht="15.75" customHeight="1">
      <c r="A73" s="1259"/>
      <c r="B73" s="1268" t="s">
        <v>794</v>
      </c>
      <c r="C73" s="1259"/>
      <c r="D73" s="1291">
        <f>'[1]Flujo Fondo'!H12</f>
        <v>190000</v>
      </c>
      <c r="E73" s="1294">
        <f>+D73/D72-1</f>
        <v>0.26666666666666661</v>
      </c>
      <c r="F73" s="1296">
        <f>+F72+G72</f>
        <v>104534861.34355557</v>
      </c>
      <c r="G73" s="1292">
        <f>+E74*F73</f>
        <v>0</v>
      </c>
      <c r="H73" s="1259"/>
      <c r="I73" s="1259"/>
      <c r="J73" s="1259"/>
      <c r="K73" s="1259"/>
      <c r="L73" s="1259"/>
      <c r="M73" s="1259"/>
      <c r="N73" s="1259"/>
      <c r="O73" s="1259"/>
      <c r="P73" s="1259"/>
      <c r="Q73" s="1259"/>
      <c r="R73" s="1259"/>
      <c r="S73" s="1259"/>
      <c r="T73" s="1259"/>
      <c r="U73" s="1259"/>
      <c r="V73" s="1259"/>
      <c r="W73" s="1259"/>
      <c r="X73" s="1259"/>
      <c r="Y73" s="1259"/>
      <c r="Z73" s="1259"/>
    </row>
    <row r="74" spans="1:26" ht="15.75" customHeight="1">
      <c r="A74" s="1259"/>
      <c r="B74" s="1268" t="s">
        <v>795</v>
      </c>
      <c r="C74" s="1259"/>
      <c r="D74" s="1291">
        <f>'[1]Flujo Fondo'!I12</f>
        <v>190000</v>
      </c>
      <c r="E74" s="1294">
        <f>+D74/D73-1</f>
        <v>0</v>
      </c>
      <c r="F74" s="1296">
        <f>+F73+G73</f>
        <v>104534861.34355557</v>
      </c>
      <c r="G74" s="1292">
        <f>+E75*F74</f>
        <v>0</v>
      </c>
      <c r="H74" s="1259"/>
      <c r="I74" s="1259"/>
      <c r="J74" s="1259"/>
      <c r="K74" s="1259"/>
      <c r="L74" s="1259"/>
      <c r="M74" s="1259"/>
      <c r="N74" s="1259"/>
      <c r="O74" s="1259"/>
      <c r="P74" s="1259"/>
      <c r="Q74" s="1259"/>
      <c r="R74" s="1259"/>
      <c r="S74" s="1259"/>
      <c r="T74" s="1259"/>
      <c r="U74" s="1259"/>
      <c r="V74" s="1259"/>
      <c r="W74" s="1259"/>
      <c r="X74" s="1259"/>
      <c r="Y74" s="1259"/>
      <c r="Z74" s="1259"/>
    </row>
    <row r="75" spans="1:26" ht="15.75" customHeight="1">
      <c r="A75" s="1259"/>
      <c r="B75" s="1259"/>
      <c r="C75" s="1259"/>
      <c r="D75" s="1259"/>
      <c r="E75" s="1259"/>
      <c r="F75" s="1259"/>
      <c r="G75" s="1259"/>
      <c r="H75" s="1259"/>
      <c r="I75" s="1259"/>
      <c r="J75" s="1259"/>
      <c r="K75" s="1259"/>
      <c r="L75" s="1259"/>
      <c r="M75" s="1259"/>
      <c r="N75" s="1259"/>
      <c r="O75" s="1259"/>
      <c r="P75" s="1259"/>
      <c r="Q75" s="1259"/>
      <c r="R75" s="1259"/>
      <c r="S75" s="1259"/>
      <c r="T75" s="1259"/>
      <c r="U75" s="1259"/>
      <c r="V75" s="1259"/>
      <c r="W75" s="1259"/>
      <c r="X75" s="1259"/>
      <c r="Y75" s="1259"/>
      <c r="Z75" s="1259"/>
    </row>
    <row r="76" spans="1:26" ht="15.75" customHeight="1">
      <c r="A76" s="1259"/>
      <c r="B76" s="1259"/>
      <c r="C76" s="1259"/>
      <c r="D76" s="1259"/>
      <c r="E76" s="1259"/>
      <c r="F76" s="1259"/>
      <c r="G76" s="1259"/>
      <c r="H76" s="1259"/>
      <c r="I76" s="1259"/>
      <c r="J76" s="1259"/>
      <c r="K76" s="1259"/>
      <c r="L76" s="1259"/>
      <c r="M76" s="1259"/>
      <c r="N76" s="1259"/>
      <c r="O76" s="1259"/>
      <c r="P76" s="1259"/>
      <c r="Q76" s="1259"/>
      <c r="R76" s="1259"/>
      <c r="S76" s="1259"/>
      <c r="T76" s="1259"/>
      <c r="U76" s="1259"/>
      <c r="V76" s="1259"/>
      <c r="W76" s="1259"/>
      <c r="X76" s="1259"/>
      <c r="Y76" s="1259"/>
      <c r="Z76" s="1259"/>
    </row>
    <row r="77" spans="1:26" ht="15.75" customHeight="1">
      <c r="A77" s="1259"/>
      <c r="B77" s="1259"/>
      <c r="C77" s="1259"/>
      <c r="D77" s="1259"/>
      <c r="E77" s="1259"/>
      <c r="F77" s="1259"/>
      <c r="G77" s="1259"/>
      <c r="H77" s="1259"/>
      <c r="I77" s="1259"/>
      <c r="J77" s="1259"/>
      <c r="K77" s="1259"/>
      <c r="L77" s="1259"/>
      <c r="M77" s="1259"/>
      <c r="N77" s="1259"/>
      <c r="O77" s="1259"/>
      <c r="P77" s="1259"/>
      <c r="Q77" s="1259"/>
      <c r="R77" s="1259"/>
      <c r="S77" s="1259"/>
      <c r="T77" s="1259"/>
      <c r="U77" s="1259"/>
      <c r="V77" s="1259"/>
      <c r="W77" s="1259"/>
      <c r="X77" s="1259"/>
      <c r="Y77" s="1259"/>
      <c r="Z77" s="1259"/>
    </row>
    <row r="78" spans="1:26" ht="15.75" customHeight="1">
      <c r="A78" s="1259"/>
      <c r="B78" s="1259"/>
      <c r="C78" s="1259"/>
      <c r="D78" s="1259"/>
      <c r="E78" s="1259"/>
      <c r="F78" s="1259"/>
      <c r="G78" s="1259"/>
      <c r="H78" s="1259"/>
      <c r="I78" s="1259"/>
      <c r="J78" s="1259"/>
      <c r="K78" s="1259"/>
      <c r="L78" s="1259"/>
      <c r="M78" s="1259"/>
      <c r="N78" s="1259"/>
      <c r="O78" s="1259"/>
      <c r="P78" s="1259"/>
      <c r="Q78" s="1259"/>
      <c r="R78" s="1259"/>
      <c r="S78" s="1259"/>
      <c r="T78" s="1259"/>
      <c r="U78" s="1259"/>
      <c r="V78" s="1259"/>
      <c r="W78" s="1259"/>
      <c r="X78" s="1259"/>
      <c r="Y78" s="1259"/>
      <c r="Z78" s="1259"/>
    </row>
    <row r="79" spans="1:26" ht="15.75" customHeight="1">
      <c r="A79" s="1259"/>
      <c r="B79" s="1259"/>
      <c r="C79" s="1259"/>
      <c r="D79" s="1259"/>
      <c r="E79" s="1259"/>
      <c r="F79" s="1259"/>
      <c r="G79" s="1259"/>
      <c r="H79" s="1259"/>
      <c r="I79" s="1259"/>
      <c r="J79" s="1259"/>
      <c r="K79" s="1259"/>
      <c r="L79" s="1259"/>
      <c r="M79" s="1259"/>
      <c r="N79" s="1259"/>
      <c r="O79" s="1259"/>
      <c r="P79" s="1259"/>
      <c r="Q79" s="1259"/>
      <c r="R79" s="1259"/>
      <c r="S79" s="1259"/>
      <c r="T79" s="1259"/>
      <c r="U79" s="1259"/>
      <c r="V79" s="1259"/>
      <c r="W79" s="1259"/>
      <c r="X79" s="1259"/>
      <c r="Y79" s="1259"/>
      <c r="Z79" s="1259"/>
    </row>
    <row r="80" spans="1:26" ht="15.75" customHeight="1">
      <c r="A80" s="1259"/>
      <c r="B80" s="1259"/>
      <c r="C80" s="1259"/>
      <c r="D80" s="1259"/>
      <c r="E80" s="1259"/>
      <c r="F80" s="1259"/>
      <c r="G80" s="1259"/>
      <c r="H80" s="1259"/>
      <c r="I80" s="1259"/>
      <c r="J80" s="1259"/>
      <c r="K80" s="1259"/>
      <c r="L80" s="1259"/>
      <c r="M80" s="1259"/>
      <c r="N80" s="1259"/>
      <c r="O80" s="1259"/>
      <c r="P80" s="1259"/>
      <c r="Q80" s="1259"/>
      <c r="R80" s="1259"/>
      <c r="S80" s="1259"/>
      <c r="T80" s="1259"/>
      <c r="U80" s="1259"/>
      <c r="V80" s="1259"/>
      <c r="W80" s="1259"/>
      <c r="X80" s="1259"/>
      <c r="Y80" s="1259"/>
      <c r="Z80" s="1259"/>
    </row>
    <row r="81" spans="1:26" ht="15.75" customHeight="1">
      <c r="A81" s="1259"/>
      <c r="B81" s="1259"/>
      <c r="C81" s="1259"/>
      <c r="D81" s="1259"/>
      <c r="E81" s="1259"/>
      <c r="F81" s="1259"/>
      <c r="G81" s="1259"/>
      <c r="H81" s="1259"/>
      <c r="I81" s="1259"/>
      <c r="J81" s="1259"/>
      <c r="K81" s="1259"/>
      <c r="L81" s="1259"/>
      <c r="M81" s="1259"/>
      <c r="N81" s="1259"/>
      <c r="O81" s="1259"/>
      <c r="P81" s="1259"/>
      <c r="Q81" s="1259"/>
      <c r="R81" s="1259"/>
      <c r="S81" s="1259"/>
      <c r="T81" s="1259"/>
      <c r="U81" s="1259"/>
      <c r="V81" s="1259"/>
      <c r="W81" s="1259"/>
      <c r="X81" s="1259"/>
      <c r="Y81" s="1259"/>
      <c r="Z81" s="1259"/>
    </row>
    <row r="82" spans="1:26" ht="15.75" customHeight="1">
      <c r="A82" s="1259"/>
      <c r="B82" s="1259"/>
      <c r="C82" s="1259"/>
      <c r="D82" s="1259"/>
      <c r="E82" s="1259"/>
      <c r="F82" s="1259"/>
      <c r="G82" s="1259"/>
      <c r="H82" s="1259"/>
      <c r="I82" s="1259"/>
      <c r="J82" s="1259"/>
      <c r="K82" s="1259"/>
      <c r="L82" s="1259"/>
      <c r="M82" s="1259"/>
      <c r="N82" s="1259"/>
      <c r="O82" s="1259"/>
      <c r="P82" s="1259"/>
      <c r="Q82" s="1259"/>
      <c r="R82" s="1259"/>
      <c r="S82" s="1259"/>
      <c r="T82" s="1259"/>
      <c r="U82" s="1259"/>
      <c r="V82" s="1259"/>
      <c r="W82" s="1259"/>
      <c r="X82" s="1259"/>
      <c r="Y82" s="1259"/>
      <c r="Z82" s="1259"/>
    </row>
    <row r="83" spans="1:26" ht="15.75" customHeight="1">
      <c r="A83" s="1259"/>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row>
    <row r="84" spans="1:26" ht="15.7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row>
    <row r="85" spans="1:26" ht="15.75" customHeight="1">
      <c r="A85" s="1259"/>
      <c r="B85" s="1259"/>
      <c r="C85" s="1259"/>
      <c r="D85" s="1259"/>
      <c r="E85" s="1259"/>
      <c r="F85" s="1259"/>
      <c r="G85" s="1259"/>
      <c r="H85" s="1259"/>
      <c r="I85" s="1259"/>
      <c r="J85" s="1259"/>
      <c r="K85" s="1259"/>
      <c r="L85" s="1259"/>
      <c r="M85" s="1259"/>
      <c r="N85" s="1259"/>
      <c r="O85" s="1259"/>
      <c r="P85" s="1259"/>
      <c r="Q85" s="1259"/>
      <c r="R85" s="1259"/>
      <c r="S85" s="1259"/>
      <c r="T85" s="1259"/>
      <c r="U85" s="1259"/>
      <c r="V85" s="1259"/>
      <c r="W85" s="1259"/>
      <c r="X85" s="1259"/>
      <c r="Y85" s="1259"/>
      <c r="Z85" s="1259"/>
    </row>
    <row r="86" spans="1:26" ht="15.75" customHeight="1">
      <c r="A86" s="1259"/>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row>
    <row r="87" spans="1:26" ht="15.7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row>
    <row r="88" spans="1:26" ht="15.75" customHeight="1">
      <c r="A88" s="1259"/>
      <c r="B88" s="1259"/>
      <c r="C88" s="1259"/>
      <c r="D88" s="1259"/>
      <c r="E88" s="1259"/>
      <c r="F88" s="1259"/>
      <c r="G88" s="1259"/>
      <c r="H88" s="1259"/>
      <c r="I88" s="1259"/>
      <c r="J88" s="1259"/>
      <c r="K88" s="1259"/>
      <c r="L88" s="1259"/>
      <c r="M88" s="1259"/>
      <c r="N88" s="1259"/>
      <c r="O88" s="1259"/>
      <c r="P88" s="1259"/>
      <c r="Q88" s="1259"/>
      <c r="R88" s="1259"/>
      <c r="S88" s="1259"/>
      <c r="T88" s="1259"/>
      <c r="U88" s="1259"/>
      <c r="V88" s="1259"/>
      <c r="W88" s="1259"/>
      <c r="X88" s="1259"/>
      <c r="Y88" s="1259"/>
      <c r="Z88" s="1259"/>
    </row>
    <row r="89" spans="1:26" ht="15.75" customHeight="1">
      <c r="A89" s="1259"/>
      <c r="B89" s="1259"/>
      <c r="C89" s="1259"/>
      <c r="D89" s="1259"/>
      <c r="E89" s="1259"/>
      <c r="F89" s="1259"/>
      <c r="G89" s="1259"/>
      <c r="H89" s="1259"/>
      <c r="I89" s="1259"/>
      <c r="J89" s="1259"/>
      <c r="K89" s="1259"/>
      <c r="L89" s="1259"/>
      <c r="M89" s="1259"/>
      <c r="N89" s="1259"/>
      <c r="O89" s="1259"/>
      <c r="P89" s="1259"/>
      <c r="Q89" s="1259"/>
      <c r="R89" s="1259"/>
      <c r="S89" s="1259"/>
      <c r="T89" s="1259"/>
      <c r="U89" s="1259"/>
      <c r="V89" s="1259"/>
      <c r="W89" s="1259"/>
      <c r="X89" s="1259"/>
      <c r="Y89" s="1259"/>
      <c r="Z89" s="1259"/>
    </row>
    <row r="90" spans="1:26" ht="15.75" customHeight="1">
      <c r="A90" s="1259"/>
      <c r="B90" s="1259"/>
      <c r="C90" s="1259"/>
      <c r="D90" s="1259"/>
      <c r="E90" s="1259"/>
      <c r="F90" s="1259"/>
      <c r="G90" s="1259"/>
      <c r="H90" s="1259"/>
      <c r="I90" s="1259"/>
      <c r="J90" s="1259"/>
      <c r="K90" s="1259"/>
      <c r="L90" s="1259"/>
      <c r="M90" s="1259"/>
      <c r="N90" s="1259"/>
      <c r="O90" s="1259"/>
      <c r="P90" s="1259"/>
      <c r="Q90" s="1259"/>
      <c r="R90" s="1259"/>
      <c r="S90" s="1259"/>
      <c r="T90" s="1259"/>
      <c r="U90" s="1259"/>
      <c r="V90" s="1259"/>
      <c r="W90" s="1259"/>
      <c r="X90" s="1259"/>
      <c r="Y90" s="1259"/>
      <c r="Z90" s="1259"/>
    </row>
    <row r="91" spans="1:26" ht="15.75" customHeight="1">
      <c r="A91" s="1259"/>
      <c r="B91" s="1259"/>
      <c r="C91" s="1259"/>
      <c r="D91" s="1259"/>
      <c r="E91" s="1259"/>
      <c r="F91" s="1259"/>
      <c r="G91" s="1259"/>
      <c r="H91" s="1259"/>
      <c r="I91" s="1259"/>
      <c r="J91" s="1259"/>
      <c r="K91" s="1259"/>
      <c r="L91" s="1259"/>
      <c r="M91" s="1259"/>
      <c r="N91" s="1259"/>
      <c r="O91" s="1259"/>
      <c r="P91" s="1259"/>
      <c r="Q91" s="1259"/>
      <c r="R91" s="1259"/>
      <c r="S91" s="1259"/>
      <c r="T91" s="1259"/>
      <c r="U91" s="1259"/>
      <c r="V91" s="1259"/>
      <c r="W91" s="1259"/>
      <c r="X91" s="1259"/>
      <c r="Y91" s="1259"/>
      <c r="Z91" s="1259"/>
    </row>
    <row r="92" spans="1:26" ht="15.75" customHeight="1">
      <c r="A92" s="1259"/>
      <c r="B92" s="1259"/>
      <c r="C92" s="1259"/>
      <c r="D92" s="1259"/>
      <c r="E92" s="1259"/>
      <c r="F92" s="1259"/>
      <c r="G92" s="1259"/>
      <c r="H92" s="1259"/>
      <c r="I92" s="1259"/>
      <c r="J92" s="1259"/>
      <c r="K92" s="1259"/>
      <c r="L92" s="1259"/>
      <c r="M92" s="1259"/>
      <c r="N92" s="1259"/>
      <c r="O92" s="1259"/>
      <c r="P92" s="1259"/>
      <c r="Q92" s="1259"/>
      <c r="R92" s="1259"/>
      <c r="S92" s="1259"/>
      <c r="T92" s="1259"/>
      <c r="U92" s="1259"/>
      <c r="V92" s="1259"/>
      <c r="W92" s="1259"/>
      <c r="X92" s="1259"/>
      <c r="Y92" s="1259"/>
      <c r="Z92" s="1259"/>
    </row>
    <row r="93" spans="1:26" ht="15.75" customHeight="1">
      <c r="A93" s="1259"/>
      <c r="B93" s="1259"/>
      <c r="C93" s="1259"/>
      <c r="D93" s="1259"/>
      <c r="E93" s="1259"/>
      <c r="F93" s="1259"/>
      <c r="G93" s="1259"/>
      <c r="H93" s="1259"/>
      <c r="I93" s="1259"/>
      <c r="J93" s="1259"/>
      <c r="K93" s="1259"/>
      <c r="L93" s="1259"/>
      <c r="M93" s="1259"/>
      <c r="N93" s="1259"/>
      <c r="O93" s="1259"/>
      <c r="P93" s="1259"/>
      <c r="Q93" s="1259"/>
      <c r="R93" s="1259"/>
      <c r="S93" s="1259"/>
      <c r="T93" s="1259"/>
      <c r="U93" s="1259"/>
      <c r="V93" s="1259"/>
      <c r="W93" s="1259"/>
      <c r="X93" s="1259"/>
      <c r="Y93" s="1259"/>
      <c r="Z93" s="1259"/>
    </row>
    <row r="94" spans="1:26" ht="15.75" customHeight="1">
      <c r="A94" s="1259"/>
      <c r="B94" s="1259"/>
      <c r="C94" s="1259"/>
      <c r="D94" s="1259"/>
      <c r="E94" s="1259"/>
      <c r="F94" s="1259"/>
      <c r="G94" s="1259"/>
      <c r="H94" s="1259"/>
      <c r="I94" s="1259"/>
      <c r="J94" s="1259"/>
      <c r="K94" s="1259"/>
      <c r="L94" s="1259"/>
      <c r="M94" s="1259"/>
      <c r="N94" s="1259"/>
      <c r="O94" s="1259"/>
      <c r="P94" s="1259"/>
      <c r="Q94" s="1259"/>
      <c r="R94" s="1259"/>
      <c r="S94" s="1259"/>
      <c r="T94" s="1259"/>
      <c r="U94" s="1259"/>
      <c r="V94" s="1259"/>
      <c r="W94" s="1259"/>
      <c r="X94" s="1259"/>
      <c r="Y94" s="1259"/>
      <c r="Z94" s="1259"/>
    </row>
    <row r="95" spans="1:26" ht="15.75" customHeight="1">
      <c r="A95" s="1259"/>
      <c r="B95" s="1259"/>
      <c r="C95" s="1259"/>
      <c r="D95" s="1259"/>
      <c r="E95" s="1259"/>
      <c r="F95" s="1259"/>
      <c r="G95" s="1259"/>
      <c r="H95" s="1259"/>
      <c r="I95" s="1259"/>
      <c r="J95" s="1259"/>
      <c r="K95" s="1259"/>
      <c r="L95" s="1259"/>
      <c r="M95" s="1259"/>
      <c r="N95" s="1259"/>
      <c r="O95" s="1259"/>
      <c r="P95" s="1259"/>
      <c r="Q95" s="1259"/>
      <c r="R95" s="1259"/>
      <c r="S95" s="1259"/>
      <c r="T95" s="1259"/>
      <c r="U95" s="1259"/>
      <c r="V95" s="1259"/>
      <c r="W95" s="1259"/>
      <c r="X95" s="1259"/>
      <c r="Y95" s="1259"/>
      <c r="Z95" s="1259"/>
    </row>
    <row r="96" spans="1:26" ht="15.75" customHeight="1">
      <c r="A96" s="1259"/>
      <c r="B96" s="1259"/>
      <c r="C96" s="1259"/>
      <c r="D96" s="1259"/>
      <c r="E96" s="1259"/>
      <c r="F96" s="1259"/>
      <c r="G96" s="1259"/>
      <c r="H96" s="1259"/>
      <c r="I96" s="1259"/>
      <c r="J96" s="1259"/>
      <c r="K96" s="1259"/>
      <c r="L96" s="1259"/>
      <c r="M96" s="1259"/>
      <c r="N96" s="1259"/>
      <c r="O96" s="1259"/>
      <c r="P96" s="1259"/>
      <c r="Q96" s="1259"/>
      <c r="R96" s="1259"/>
      <c r="S96" s="1259"/>
      <c r="T96" s="1259"/>
      <c r="U96" s="1259"/>
      <c r="V96" s="1259"/>
      <c r="W96" s="1259"/>
      <c r="X96" s="1259"/>
      <c r="Y96" s="1259"/>
      <c r="Z96" s="1259"/>
    </row>
    <row r="97" spans="1:26" ht="15.75" customHeight="1">
      <c r="A97" s="1259"/>
      <c r="B97" s="1259"/>
      <c r="C97" s="1259"/>
      <c r="D97" s="1259"/>
      <c r="E97" s="1259"/>
      <c r="F97" s="1259"/>
      <c r="G97" s="1259"/>
      <c r="H97" s="1259"/>
      <c r="I97" s="1259"/>
      <c r="J97" s="1259"/>
      <c r="K97" s="1259"/>
      <c r="L97" s="1259"/>
      <c r="M97" s="1259"/>
      <c r="N97" s="1259"/>
      <c r="O97" s="1259"/>
      <c r="P97" s="1259"/>
      <c r="Q97" s="1259"/>
      <c r="R97" s="1259"/>
      <c r="S97" s="1259"/>
      <c r="T97" s="1259"/>
      <c r="U97" s="1259"/>
      <c r="V97" s="1259"/>
      <c r="W97" s="1259"/>
      <c r="X97" s="1259"/>
      <c r="Y97" s="1259"/>
      <c r="Z97" s="1259"/>
    </row>
    <row r="98" spans="1:26" ht="15.75" customHeight="1">
      <c r="A98" s="1259"/>
      <c r="B98" s="1259"/>
      <c r="C98" s="1259"/>
      <c r="D98" s="1259"/>
      <c r="E98" s="1259"/>
      <c r="F98" s="1259"/>
      <c r="G98" s="1259"/>
      <c r="H98" s="1259"/>
      <c r="I98" s="1259"/>
      <c r="J98" s="1259"/>
      <c r="K98" s="1259"/>
      <c r="L98" s="1259"/>
      <c r="M98" s="1259"/>
      <c r="N98" s="1259"/>
      <c r="O98" s="1259"/>
      <c r="P98" s="1259"/>
      <c r="Q98" s="1259"/>
      <c r="R98" s="1259"/>
      <c r="S98" s="1259"/>
      <c r="T98" s="1259"/>
      <c r="U98" s="1259"/>
      <c r="V98" s="1259"/>
      <c r="W98" s="1259"/>
      <c r="X98" s="1259"/>
      <c r="Y98" s="1259"/>
      <c r="Z98" s="1259"/>
    </row>
    <row r="99" spans="1:26" ht="15.75" customHeight="1">
      <c r="A99" s="1259"/>
      <c r="B99" s="1259"/>
      <c r="C99" s="1259"/>
      <c r="D99" s="1259"/>
      <c r="E99" s="1259"/>
      <c r="F99" s="1259"/>
      <c r="G99" s="1259"/>
      <c r="H99" s="1259"/>
      <c r="I99" s="1259"/>
      <c r="J99" s="1259"/>
      <c r="K99" s="1259"/>
      <c r="L99" s="1259"/>
      <c r="M99" s="1259"/>
      <c r="N99" s="1259"/>
      <c r="O99" s="1259"/>
      <c r="P99" s="1259"/>
      <c r="Q99" s="1259"/>
      <c r="R99" s="1259"/>
      <c r="S99" s="1259"/>
      <c r="T99" s="1259"/>
      <c r="U99" s="1259"/>
      <c r="V99" s="1259"/>
      <c r="W99" s="1259"/>
      <c r="X99" s="1259"/>
      <c r="Y99" s="1259"/>
      <c r="Z99" s="1259"/>
    </row>
    <row r="100" spans="1:26" ht="15.75" customHeight="1">
      <c r="A100" s="1259"/>
      <c r="B100" s="1259"/>
      <c r="C100" s="1259"/>
      <c r="D100" s="1259"/>
      <c r="E100" s="1259"/>
      <c r="F100" s="1259"/>
      <c r="G100" s="1259"/>
      <c r="H100" s="1259"/>
      <c r="I100" s="1259"/>
      <c r="J100" s="1259"/>
      <c r="K100" s="1259"/>
      <c r="L100" s="1259"/>
      <c r="M100" s="1259"/>
      <c r="N100" s="1259"/>
      <c r="O100" s="1259"/>
      <c r="P100" s="1259"/>
      <c r="Q100" s="1259"/>
      <c r="R100" s="1259"/>
      <c r="S100" s="1259"/>
      <c r="T100" s="1259"/>
      <c r="U100" s="1259"/>
      <c r="V100" s="1259"/>
      <c r="W100" s="1259"/>
      <c r="X100" s="1259"/>
      <c r="Y100" s="1259"/>
      <c r="Z100" s="1259"/>
    </row>
    <row r="101" spans="1:26" ht="15.75" customHeight="1">
      <c r="A101" s="1259"/>
      <c r="B101" s="1259"/>
      <c r="C101" s="1259"/>
      <c r="D101" s="1259"/>
      <c r="E101" s="1259"/>
      <c r="F101" s="1259"/>
      <c r="G101" s="1259"/>
      <c r="H101" s="1259"/>
      <c r="I101" s="1259"/>
      <c r="J101" s="1259"/>
      <c r="K101" s="1259"/>
      <c r="L101" s="1259"/>
      <c r="M101" s="1259"/>
      <c r="N101" s="1259"/>
      <c r="O101" s="1259"/>
      <c r="P101" s="1259"/>
      <c r="Q101" s="1259"/>
      <c r="R101" s="1259"/>
      <c r="S101" s="1259"/>
      <c r="T101" s="1259"/>
      <c r="U101" s="1259"/>
      <c r="V101" s="1259"/>
      <c r="W101" s="1259"/>
      <c r="X101" s="1259"/>
      <c r="Y101" s="1259"/>
      <c r="Z101" s="1259"/>
    </row>
    <row r="102" spans="1:26" ht="15.75" customHeight="1">
      <c r="A102" s="1259"/>
      <c r="B102" s="1259"/>
      <c r="C102" s="1259"/>
      <c r="D102" s="1259"/>
      <c r="E102" s="1259"/>
      <c r="F102" s="1259"/>
      <c r="G102" s="1259"/>
      <c r="H102" s="1259"/>
      <c r="I102" s="1259"/>
      <c r="J102" s="1259"/>
      <c r="K102" s="1259"/>
      <c r="L102" s="1259"/>
      <c r="M102" s="1259"/>
      <c r="N102" s="1259"/>
      <c r="O102" s="1259"/>
      <c r="P102" s="1259"/>
      <c r="Q102" s="1259"/>
      <c r="R102" s="1259"/>
      <c r="S102" s="1259"/>
      <c r="T102" s="1259"/>
      <c r="U102" s="1259"/>
      <c r="V102" s="1259"/>
      <c r="W102" s="1259"/>
      <c r="X102" s="1259"/>
      <c r="Y102" s="1259"/>
      <c r="Z102" s="1259"/>
    </row>
    <row r="103" spans="1:26" ht="15.75" customHeight="1">
      <c r="A103" s="1259"/>
      <c r="B103" s="1259"/>
      <c r="C103" s="1259"/>
      <c r="D103" s="1259"/>
      <c r="E103" s="1259"/>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row>
    <row r="104" spans="1:26" ht="15.75" customHeight="1">
      <c r="A104" s="1259"/>
      <c r="B104" s="1259"/>
      <c r="C104" s="1259"/>
      <c r="D104" s="1259"/>
      <c r="E104" s="1259"/>
      <c r="F104" s="1259"/>
      <c r="G104" s="1259"/>
      <c r="H104" s="1259"/>
      <c r="I104" s="1259"/>
      <c r="J104" s="1259"/>
      <c r="K104" s="1259"/>
      <c r="L104" s="1259"/>
      <c r="M104" s="1259"/>
      <c r="N104" s="1259"/>
      <c r="O104" s="1259"/>
      <c r="P104" s="1259"/>
      <c r="Q104" s="1259"/>
      <c r="R104" s="1259"/>
      <c r="S104" s="1259"/>
      <c r="T104" s="1259"/>
      <c r="U104" s="1259"/>
      <c r="V104" s="1259"/>
      <c r="W104" s="1259"/>
      <c r="X104" s="1259"/>
      <c r="Y104" s="1259"/>
      <c r="Z104" s="1259"/>
    </row>
    <row r="105" spans="1:26" ht="15.75" customHeight="1">
      <c r="A105" s="1259"/>
      <c r="B105" s="1259"/>
      <c r="C105" s="1259"/>
      <c r="D105" s="1259"/>
      <c r="E105" s="1259"/>
      <c r="F105" s="1259"/>
      <c r="G105" s="1259"/>
      <c r="H105" s="1259"/>
      <c r="I105" s="1259"/>
      <c r="J105" s="1259"/>
      <c r="K105" s="1259"/>
      <c r="L105" s="1259"/>
      <c r="M105" s="1259"/>
      <c r="N105" s="1259"/>
      <c r="O105" s="1259"/>
      <c r="P105" s="1259"/>
      <c r="Q105" s="1259"/>
      <c r="R105" s="1259"/>
      <c r="S105" s="1259"/>
      <c r="T105" s="1259"/>
      <c r="U105" s="1259"/>
      <c r="V105" s="1259"/>
      <c r="W105" s="1259"/>
      <c r="X105" s="1259"/>
      <c r="Y105" s="1259"/>
      <c r="Z105" s="1259"/>
    </row>
    <row r="106" spans="1:26" ht="15.75" customHeight="1">
      <c r="A106" s="1259"/>
      <c r="B106" s="1259"/>
      <c r="C106" s="1259"/>
      <c r="D106" s="1259"/>
      <c r="E106" s="1259"/>
      <c r="F106" s="1259"/>
      <c r="G106" s="1259"/>
      <c r="H106" s="1259"/>
      <c r="I106" s="1259"/>
      <c r="J106" s="1259"/>
      <c r="K106" s="1259"/>
      <c r="L106" s="1259"/>
      <c r="M106" s="1259"/>
      <c r="N106" s="1259"/>
      <c r="O106" s="1259"/>
      <c r="P106" s="1259"/>
      <c r="Q106" s="1259"/>
      <c r="R106" s="1259"/>
      <c r="S106" s="1259"/>
      <c r="T106" s="1259"/>
      <c r="U106" s="1259"/>
      <c r="V106" s="1259"/>
      <c r="W106" s="1259"/>
      <c r="X106" s="1259"/>
      <c r="Y106" s="1259"/>
      <c r="Z106" s="1259"/>
    </row>
    <row r="107" spans="1:26" ht="15.75" customHeight="1">
      <c r="A107" s="1259"/>
      <c r="B107" s="1259"/>
      <c r="C107" s="1259"/>
      <c r="D107" s="1259"/>
      <c r="E107" s="1259"/>
      <c r="F107" s="1259"/>
      <c r="G107" s="1259"/>
      <c r="H107" s="1259"/>
      <c r="I107" s="1259"/>
      <c r="J107" s="1259"/>
      <c r="K107" s="1259"/>
      <c r="L107" s="1259"/>
      <c r="M107" s="1259"/>
      <c r="N107" s="1259"/>
      <c r="O107" s="1259"/>
      <c r="P107" s="1259"/>
      <c r="Q107" s="1259"/>
      <c r="R107" s="1259"/>
      <c r="S107" s="1259"/>
      <c r="T107" s="1259"/>
      <c r="U107" s="1259"/>
      <c r="V107" s="1259"/>
      <c r="W107" s="1259"/>
      <c r="X107" s="1259"/>
      <c r="Y107" s="1259"/>
      <c r="Z107" s="1259"/>
    </row>
    <row r="108" spans="1:26" ht="15.75" customHeight="1">
      <c r="A108" s="1259"/>
      <c r="B108" s="1259"/>
      <c r="C108" s="1259"/>
      <c r="D108" s="1259"/>
      <c r="E108" s="1259"/>
      <c r="F108" s="1259"/>
      <c r="G108" s="1259"/>
      <c r="H108" s="1259"/>
      <c r="I108" s="1259"/>
      <c r="J108" s="1259"/>
      <c r="K108" s="1259"/>
      <c r="L108" s="1259"/>
      <c r="M108" s="1259"/>
      <c r="N108" s="1259"/>
      <c r="O108" s="1259"/>
      <c r="P108" s="1259"/>
      <c r="Q108" s="1259"/>
      <c r="R108" s="1259"/>
      <c r="S108" s="1259"/>
      <c r="T108" s="1259"/>
      <c r="U108" s="1259"/>
      <c r="V108" s="1259"/>
      <c r="W108" s="1259"/>
      <c r="X108" s="1259"/>
      <c r="Y108" s="1259"/>
      <c r="Z108" s="1259"/>
    </row>
    <row r="109" spans="1:26" ht="15.75" customHeight="1">
      <c r="A109" s="1259"/>
      <c r="B109" s="1259"/>
      <c r="C109" s="1259"/>
      <c r="D109" s="1259"/>
      <c r="E109" s="1259"/>
      <c r="F109" s="1259"/>
      <c r="G109" s="1259"/>
      <c r="H109" s="1259"/>
      <c r="I109" s="1259"/>
      <c r="J109" s="1259"/>
      <c r="K109" s="1259"/>
      <c r="L109" s="1259"/>
      <c r="M109" s="1259"/>
      <c r="N109" s="1259"/>
      <c r="O109" s="1259"/>
      <c r="P109" s="1259"/>
      <c r="Q109" s="1259"/>
      <c r="R109" s="1259"/>
      <c r="S109" s="1259"/>
      <c r="T109" s="1259"/>
      <c r="U109" s="1259"/>
      <c r="V109" s="1259"/>
      <c r="W109" s="1259"/>
      <c r="X109" s="1259"/>
      <c r="Y109" s="1259"/>
      <c r="Z109" s="1259"/>
    </row>
    <row r="110" spans="1:26" ht="15.75" customHeight="1">
      <c r="A110" s="1259"/>
      <c r="B110" s="1259"/>
      <c r="C110" s="1259"/>
      <c r="D110" s="1259"/>
      <c r="E110" s="1259"/>
      <c r="F110" s="1259"/>
      <c r="G110" s="1259"/>
      <c r="H110" s="1259"/>
      <c r="I110" s="1259"/>
      <c r="J110" s="1259"/>
      <c r="K110" s="1259"/>
      <c r="L110" s="1259"/>
      <c r="M110" s="1259"/>
      <c r="N110" s="1259"/>
      <c r="O110" s="1259"/>
      <c r="P110" s="1259"/>
      <c r="Q110" s="1259"/>
      <c r="R110" s="1259"/>
      <c r="S110" s="1259"/>
      <c r="T110" s="1259"/>
      <c r="U110" s="1259"/>
      <c r="V110" s="1259"/>
      <c r="W110" s="1259"/>
      <c r="X110" s="1259"/>
      <c r="Y110" s="1259"/>
      <c r="Z110" s="1259"/>
    </row>
    <row r="111" spans="1:26" ht="15.75" customHeight="1">
      <c r="A111" s="1259"/>
      <c r="B111" s="1259"/>
      <c r="C111" s="1259"/>
      <c r="D111" s="1259"/>
      <c r="E111" s="1259"/>
      <c r="F111" s="1259"/>
      <c r="G111" s="1259"/>
      <c r="H111" s="1259"/>
      <c r="I111" s="1259"/>
      <c r="J111" s="1259"/>
      <c r="K111" s="1259"/>
      <c r="L111" s="1259"/>
      <c r="M111" s="1259"/>
      <c r="N111" s="1259"/>
      <c r="O111" s="1259"/>
      <c r="P111" s="1259"/>
      <c r="Q111" s="1259"/>
      <c r="R111" s="1259"/>
      <c r="S111" s="1259"/>
      <c r="T111" s="1259"/>
      <c r="U111" s="1259"/>
      <c r="V111" s="1259"/>
      <c r="W111" s="1259"/>
      <c r="X111" s="1259"/>
      <c r="Y111" s="1259"/>
      <c r="Z111" s="1259"/>
    </row>
    <row r="112" spans="1:26" ht="15.75" customHeight="1">
      <c r="A112" s="1259"/>
      <c r="B112" s="1259"/>
      <c r="C112" s="1259"/>
      <c r="D112" s="1259"/>
      <c r="E112" s="1259"/>
      <c r="F112" s="1259"/>
      <c r="G112" s="1259"/>
      <c r="H112" s="1259"/>
      <c r="I112" s="1259"/>
      <c r="J112" s="1259"/>
      <c r="K112" s="1259"/>
      <c r="L112" s="1259"/>
      <c r="M112" s="1259"/>
      <c r="N112" s="1259"/>
      <c r="O112" s="1259"/>
      <c r="P112" s="1259"/>
      <c r="Q112" s="1259"/>
      <c r="R112" s="1259"/>
      <c r="S112" s="1259"/>
      <c r="T112" s="1259"/>
      <c r="U112" s="1259"/>
      <c r="V112" s="1259"/>
      <c r="W112" s="1259"/>
      <c r="X112" s="1259"/>
      <c r="Y112" s="1259"/>
      <c r="Z112" s="1259"/>
    </row>
    <row r="113" spans="1:26" ht="15.75" customHeight="1">
      <c r="A113" s="1259"/>
      <c r="B113" s="1259"/>
      <c r="C113" s="1259"/>
      <c r="D113" s="1259"/>
      <c r="E113" s="1259"/>
      <c r="F113" s="1259"/>
      <c r="G113" s="1259"/>
      <c r="H113" s="1259"/>
      <c r="I113" s="1259"/>
      <c r="J113" s="1259"/>
      <c r="K113" s="1259"/>
      <c r="L113" s="1259"/>
      <c r="M113" s="1259"/>
      <c r="N113" s="1259"/>
      <c r="O113" s="1259"/>
      <c r="P113" s="1259"/>
      <c r="Q113" s="1259"/>
      <c r="R113" s="1259"/>
      <c r="S113" s="1259"/>
      <c r="T113" s="1259"/>
      <c r="U113" s="1259"/>
      <c r="V113" s="1259"/>
      <c r="W113" s="1259"/>
      <c r="X113" s="1259"/>
      <c r="Y113" s="1259"/>
      <c r="Z113" s="1259"/>
    </row>
    <row r="114" spans="1:26" ht="15.75" customHeight="1">
      <c r="A114" s="1259"/>
      <c r="B114" s="1259"/>
      <c r="C114" s="1259"/>
      <c r="D114" s="1259"/>
      <c r="E114" s="1259"/>
      <c r="F114" s="1259"/>
      <c r="G114" s="1259"/>
      <c r="H114" s="1259"/>
      <c r="I114" s="1259"/>
      <c r="J114" s="1259"/>
      <c r="K114" s="1259"/>
      <c r="L114" s="1259"/>
      <c r="M114" s="1259"/>
      <c r="N114" s="1259"/>
      <c r="O114" s="1259"/>
      <c r="P114" s="1259"/>
      <c r="Q114" s="1259"/>
      <c r="R114" s="1259"/>
      <c r="S114" s="1259"/>
      <c r="T114" s="1259"/>
      <c r="U114" s="1259"/>
      <c r="V114" s="1259"/>
      <c r="W114" s="1259"/>
      <c r="X114" s="1259"/>
      <c r="Y114" s="1259"/>
      <c r="Z114" s="1259"/>
    </row>
    <row r="115" spans="1:26" ht="15.75" customHeight="1">
      <c r="A115" s="1259"/>
      <c r="B115" s="1259"/>
      <c r="C115" s="1259"/>
      <c r="D115" s="1259"/>
      <c r="E115" s="1259"/>
      <c r="F115" s="1259"/>
      <c r="G115" s="1259"/>
      <c r="H115" s="1259"/>
      <c r="I115" s="1259"/>
      <c r="J115" s="1259"/>
      <c r="K115" s="1259"/>
      <c r="L115" s="1259"/>
      <c r="M115" s="1259"/>
      <c r="N115" s="1259"/>
      <c r="O115" s="1259"/>
      <c r="P115" s="1259"/>
      <c r="Q115" s="1259"/>
      <c r="R115" s="1259"/>
      <c r="S115" s="1259"/>
      <c r="T115" s="1259"/>
      <c r="U115" s="1259"/>
      <c r="V115" s="1259"/>
      <c r="W115" s="1259"/>
      <c r="X115" s="1259"/>
      <c r="Y115" s="1259"/>
      <c r="Z115" s="1259"/>
    </row>
    <row r="116" spans="1:26" ht="15.75" customHeight="1">
      <c r="A116" s="1259"/>
      <c r="B116" s="1259"/>
      <c r="C116" s="1259"/>
      <c r="D116" s="1259"/>
      <c r="E116" s="1259"/>
      <c r="F116" s="1259"/>
      <c r="G116" s="1259"/>
      <c r="H116" s="1259"/>
      <c r="I116" s="1259"/>
      <c r="J116" s="1259"/>
      <c r="K116" s="1259"/>
      <c r="L116" s="1259"/>
      <c r="M116" s="1259"/>
      <c r="N116" s="1259"/>
      <c r="O116" s="1259"/>
      <c r="P116" s="1259"/>
      <c r="Q116" s="1259"/>
      <c r="R116" s="1259"/>
      <c r="S116" s="1259"/>
      <c r="T116" s="1259"/>
      <c r="U116" s="1259"/>
      <c r="V116" s="1259"/>
      <c r="W116" s="1259"/>
      <c r="X116" s="1259"/>
      <c r="Y116" s="1259"/>
      <c r="Z116" s="1259"/>
    </row>
    <row r="117" spans="1:26" ht="15.75" customHeight="1">
      <c r="A117" s="1259"/>
      <c r="B117" s="1259"/>
      <c r="C117" s="1259"/>
      <c r="D117" s="1259"/>
      <c r="E117" s="1259"/>
      <c r="F117" s="1259"/>
      <c r="G117" s="1259"/>
      <c r="H117" s="1259"/>
      <c r="I117" s="1259"/>
      <c r="J117" s="1259"/>
      <c r="K117" s="1259"/>
      <c r="L117" s="1259"/>
      <c r="M117" s="1259"/>
      <c r="N117" s="1259"/>
      <c r="O117" s="1259"/>
      <c r="P117" s="1259"/>
      <c r="Q117" s="1259"/>
      <c r="R117" s="1259"/>
      <c r="S117" s="1259"/>
      <c r="T117" s="1259"/>
      <c r="U117" s="1259"/>
      <c r="V117" s="1259"/>
      <c r="W117" s="1259"/>
      <c r="X117" s="1259"/>
      <c r="Y117" s="1259"/>
      <c r="Z117" s="1259"/>
    </row>
    <row r="118" spans="1:26" ht="15.75" customHeight="1">
      <c r="A118" s="1259"/>
      <c r="B118" s="1259"/>
      <c r="C118" s="1259"/>
      <c r="D118" s="1259"/>
      <c r="E118" s="1259"/>
      <c r="F118" s="1259"/>
      <c r="G118" s="1259"/>
      <c r="H118" s="1259"/>
      <c r="I118" s="1259"/>
      <c r="J118" s="1259"/>
      <c r="K118" s="1259"/>
      <c r="L118" s="1259"/>
      <c r="M118" s="1259"/>
      <c r="N118" s="1259"/>
      <c r="O118" s="1259"/>
      <c r="P118" s="1259"/>
      <c r="Q118" s="1259"/>
      <c r="R118" s="1259"/>
      <c r="S118" s="1259"/>
      <c r="T118" s="1259"/>
      <c r="U118" s="1259"/>
      <c r="V118" s="1259"/>
      <c r="W118" s="1259"/>
      <c r="X118" s="1259"/>
      <c r="Y118" s="1259"/>
      <c r="Z118" s="1259"/>
    </row>
    <row r="119" spans="1:26" ht="15.75" customHeight="1">
      <c r="A119" s="1259"/>
      <c r="B119" s="1259"/>
      <c r="C119" s="1259"/>
      <c r="D119" s="1259"/>
      <c r="E119" s="1259"/>
      <c r="F119" s="1259"/>
      <c r="G119" s="1259"/>
      <c r="H119" s="1259"/>
      <c r="I119" s="1259"/>
      <c r="J119" s="1259"/>
      <c r="K119" s="1259"/>
      <c r="L119" s="1259"/>
      <c r="M119" s="1259"/>
      <c r="N119" s="1259"/>
      <c r="O119" s="1259"/>
      <c r="P119" s="1259"/>
      <c r="Q119" s="1259"/>
      <c r="R119" s="1259"/>
      <c r="S119" s="1259"/>
      <c r="T119" s="1259"/>
      <c r="U119" s="1259"/>
      <c r="V119" s="1259"/>
      <c r="W119" s="1259"/>
      <c r="X119" s="1259"/>
      <c r="Y119" s="1259"/>
      <c r="Z119" s="1259"/>
    </row>
    <row r="120" spans="1:26" ht="15.75" customHeight="1">
      <c r="A120" s="1259"/>
      <c r="B120" s="1259"/>
      <c r="C120" s="1259"/>
      <c r="D120" s="1259"/>
      <c r="E120" s="1259"/>
      <c r="F120" s="1259"/>
      <c r="G120" s="1259"/>
      <c r="H120" s="1259"/>
      <c r="I120" s="1259"/>
      <c r="J120" s="1259"/>
      <c r="K120" s="1259"/>
      <c r="L120" s="1259"/>
      <c r="M120" s="1259"/>
      <c r="N120" s="1259"/>
      <c r="O120" s="1259"/>
      <c r="P120" s="1259"/>
      <c r="Q120" s="1259"/>
      <c r="R120" s="1259"/>
      <c r="S120" s="1259"/>
      <c r="T120" s="1259"/>
      <c r="U120" s="1259"/>
      <c r="V120" s="1259"/>
      <c r="W120" s="1259"/>
      <c r="X120" s="1259"/>
      <c r="Y120" s="1259"/>
      <c r="Z120" s="1259"/>
    </row>
    <row r="121" spans="1:26" ht="15.75" customHeight="1">
      <c r="A121" s="1259"/>
      <c r="B121" s="1259"/>
      <c r="C121" s="1259"/>
      <c r="D121" s="1259"/>
      <c r="E121" s="1259"/>
      <c r="F121" s="1259"/>
      <c r="G121" s="1259"/>
      <c r="H121" s="1259"/>
      <c r="I121" s="1259"/>
      <c r="J121" s="1259"/>
      <c r="K121" s="1259"/>
      <c r="L121" s="1259"/>
      <c r="M121" s="1259"/>
      <c r="N121" s="1259"/>
      <c r="O121" s="1259"/>
      <c r="P121" s="1259"/>
      <c r="Q121" s="1259"/>
      <c r="R121" s="1259"/>
      <c r="S121" s="1259"/>
      <c r="T121" s="1259"/>
      <c r="U121" s="1259"/>
      <c r="V121" s="1259"/>
      <c r="W121" s="1259"/>
      <c r="X121" s="1259"/>
      <c r="Y121" s="1259"/>
      <c r="Z121" s="1259"/>
    </row>
    <row r="122" spans="1:26" ht="15.75" customHeight="1">
      <c r="A122" s="1259"/>
      <c r="B122" s="1259"/>
      <c r="C122" s="1259"/>
      <c r="D122" s="1259"/>
      <c r="E122" s="1259"/>
      <c r="F122" s="1259"/>
      <c r="G122" s="1259"/>
      <c r="H122" s="1259"/>
      <c r="I122" s="1259"/>
      <c r="J122" s="1259"/>
      <c r="K122" s="1259"/>
      <c r="L122" s="1259"/>
      <c r="M122" s="1259"/>
      <c r="N122" s="1259"/>
      <c r="O122" s="1259"/>
      <c r="P122" s="1259"/>
      <c r="Q122" s="1259"/>
      <c r="R122" s="1259"/>
      <c r="S122" s="1259"/>
      <c r="T122" s="1259"/>
      <c r="U122" s="1259"/>
      <c r="V122" s="1259"/>
      <c r="W122" s="1259"/>
      <c r="X122" s="1259"/>
      <c r="Y122" s="1259"/>
      <c r="Z122" s="1259"/>
    </row>
    <row r="123" spans="1:26" ht="15.75" customHeight="1">
      <c r="A123" s="1259"/>
      <c r="B123" s="1259"/>
      <c r="C123" s="1259"/>
      <c r="D123" s="1259"/>
      <c r="E123" s="1259"/>
      <c r="F123" s="1259"/>
      <c r="G123" s="1259"/>
      <c r="H123" s="1259"/>
      <c r="I123" s="1259"/>
      <c r="J123" s="1259"/>
      <c r="K123" s="1259"/>
      <c r="L123" s="1259"/>
      <c r="M123" s="1259"/>
      <c r="N123" s="1259"/>
      <c r="O123" s="1259"/>
      <c r="P123" s="1259"/>
      <c r="Q123" s="1259"/>
      <c r="R123" s="1259"/>
      <c r="S123" s="1259"/>
      <c r="T123" s="1259"/>
      <c r="U123" s="1259"/>
      <c r="V123" s="1259"/>
      <c r="W123" s="1259"/>
      <c r="X123" s="1259"/>
      <c r="Y123" s="1259"/>
      <c r="Z123" s="1259"/>
    </row>
    <row r="124" spans="1:26" ht="15.75" customHeight="1">
      <c r="A124" s="1259"/>
      <c r="B124" s="1259"/>
      <c r="C124" s="1259"/>
      <c r="D124" s="1259"/>
      <c r="E124" s="1259"/>
      <c r="F124" s="1259"/>
      <c r="G124" s="1259"/>
      <c r="H124" s="1259"/>
      <c r="I124" s="1259"/>
      <c r="J124" s="1259"/>
      <c r="K124" s="1259"/>
      <c r="L124" s="1259"/>
      <c r="M124" s="1259"/>
      <c r="N124" s="1259"/>
      <c r="O124" s="1259"/>
      <c r="P124" s="1259"/>
      <c r="Q124" s="1259"/>
      <c r="R124" s="1259"/>
      <c r="S124" s="1259"/>
      <c r="T124" s="1259"/>
      <c r="U124" s="1259"/>
      <c r="V124" s="1259"/>
      <c r="W124" s="1259"/>
      <c r="X124" s="1259"/>
      <c r="Y124" s="1259"/>
      <c r="Z124" s="1259"/>
    </row>
    <row r="125" spans="1:26" ht="15.75" customHeight="1">
      <c r="A125" s="1259"/>
      <c r="B125" s="1259"/>
      <c r="C125" s="1259"/>
      <c r="D125" s="1259"/>
      <c r="E125" s="1259"/>
      <c r="F125" s="1259"/>
      <c r="G125" s="1259"/>
      <c r="H125" s="1259"/>
      <c r="I125" s="1259"/>
      <c r="J125" s="1259"/>
      <c r="K125" s="1259"/>
      <c r="L125" s="1259"/>
      <c r="M125" s="1259"/>
      <c r="N125" s="1259"/>
      <c r="O125" s="1259"/>
      <c r="P125" s="1259"/>
      <c r="Q125" s="1259"/>
      <c r="R125" s="1259"/>
      <c r="S125" s="1259"/>
      <c r="T125" s="1259"/>
      <c r="U125" s="1259"/>
      <c r="V125" s="1259"/>
      <c r="W125" s="1259"/>
      <c r="X125" s="1259"/>
      <c r="Y125" s="1259"/>
      <c r="Z125" s="1259"/>
    </row>
    <row r="126" spans="1:26" ht="15.75" customHeight="1">
      <c r="A126" s="1259"/>
      <c r="B126" s="1259"/>
      <c r="C126" s="1259"/>
      <c r="D126" s="1259"/>
      <c r="E126" s="1259"/>
      <c r="F126" s="1259"/>
      <c r="G126" s="1259"/>
      <c r="H126" s="1259"/>
      <c r="I126" s="1259"/>
      <c r="J126" s="1259"/>
      <c r="K126" s="1259"/>
      <c r="L126" s="1259"/>
      <c r="M126" s="1259"/>
      <c r="N126" s="1259"/>
      <c r="O126" s="1259"/>
      <c r="P126" s="1259"/>
      <c r="Q126" s="1259"/>
      <c r="R126" s="1259"/>
      <c r="S126" s="1259"/>
      <c r="T126" s="1259"/>
      <c r="U126" s="1259"/>
      <c r="V126" s="1259"/>
      <c r="W126" s="1259"/>
      <c r="X126" s="1259"/>
      <c r="Y126" s="1259"/>
      <c r="Z126" s="1259"/>
    </row>
    <row r="127" spans="1:26" ht="15.75" customHeight="1">
      <c r="A127" s="1259"/>
      <c r="B127" s="1259"/>
      <c r="C127" s="1259"/>
      <c r="D127" s="1259"/>
      <c r="E127" s="1259"/>
      <c r="F127" s="1259"/>
      <c r="G127" s="1259"/>
      <c r="H127" s="1259"/>
      <c r="I127" s="1259"/>
      <c r="J127" s="1259"/>
      <c r="K127" s="1259"/>
      <c r="L127" s="1259"/>
      <c r="M127" s="1259"/>
      <c r="N127" s="1259"/>
      <c r="O127" s="1259"/>
      <c r="P127" s="1259"/>
      <c r="Q127" s="1259"/>
      <c r="R127" s="1259"/>
      <c r="S127" s="1259"/>
      <c r="T127" s="1259"/>
      <c r="U127" s="1259"/>
      <c r="V127" s="1259"/>
      <c r="W127" s="1259"/>
      <c r="X127" s="1259"/>
      <c r="Y127" s="1259"/>
      <c r="Z127" s="1259"/>
    </row>
    <row r="128" spans="1:26" ht="15.75" customHeight="1">
      <c r="A128" s="1259"/>
      <c r="B128" s="1259"/>
      <c r="C128" s="1259"/>
      <c r="D128" s="1259"/>
      <c r="E128" s="1259"/>
      <c r="F128" s="1259"/>
      <c r="G128" s="1259"/>
      <c r="H128" s="1259"/>
      <c r="I128" s="1259"/>
      <c r="J128" s="1259"/>
      <c r="K128" s="1259"/>
      <c r="L128" s="1259"/>
      <c r="M128" s="1259"/>
      <c r="N128" s="1259"/>
      <c r="O128" s="1259"/>
      <c r="P128" s="1259"/>
      <c r="Q128" s="1259"/>
      <c r="R128" s="1259"/>
      <c r="S128" s="1259"/>
      <c r="T128" s="1259"/>
      <c r="U128" s="1259"/>
      <c r="V128" s="1259"/>
      <c r="W128" s="1259"/>
      <c r="X128" s="1259"/>
      <c r="Y128" s="1259"/>
      <c r="Z128" s="1259"/>
    </row>
    <row r="129" spans="1:26" ht="15.75" customHeight="1">
      <c r="A129" s="1259"/>
      <c r="B129" s="1259"/>
      <c r="C129" s="1259"/>
      <c r="D129" s="1259"/>
      <c r="E129" s="1259"/>
      <c r="F129" s="1259"/>
      <c r="G129" s="1259"/>
      <c r="H129" s="1259"/>
      <c r="I129" s="1259"/>
      <c r="J129" s="1259"/>
      <c r="K129" s="1259"/>
      <c r="L129" s="1259"/>
      <c r="M129" s="1259"/>
      <c r="N129" s="1259"/>
      <c r="O129" s="1259"/>
      <c r="P129" s="1259"/>
      <c r="Q129" s="1259"/>
      <c r="R129" s="1259"/>
      <c r="S129" s="1259"/>
      <c r="T129" s="1259"/>
      <c r="U129" s="1259"/>
      <c r="V129" s="1259"/>
      <c r="W129" s="1259"/>
      <c r="X129" s="1259"/>
      <c r="Y129" s="1259"/>
      <c r="Z129" s="1259"/>
    </row>
    <row r="130" spans="1:26" ht="15.75" customHeight="1">
      <c r="A130" s="1259"/>
      <c r="B130" s="1259"/>
      <c r="C130" s="1259"/>
      <c r="D130" s="1259"/>
      <c r="E130" s="1259"/>
      <c r="F130" s="1259"/>
      <c r="G130" s="1259"/>
      <c r="H130" s="1259"/>
      <c r="I130" s="1259"/>
      <c r="J130" s="1259"/>
      <c r="K130" s="1259"/>
      <c r="L130" s="1259"/>
      <c r="M130" s="1259"/>
      <c r="N130" s="1259"/>
      <c r="O130" s="1259"/>
      <c r="P130" s="1259"/>
      <c r="Q130" s="1259"/>
      <c r="R130" s="1259"/>
      <c r="S130" s="1259"/>
      <c r="T130" s="1259"/>
      <c r="U130" s="1259"/>
      <c r="V130" s="1259"/>
      <c r="W130" s="1259"/>
      <c r="X130" s="1259"/>
      <c r="Y130" s="1259"/>
      <c r="Z130" s="1259"/>
    </row>
    <row r="131" spans="1:26" ht="15.75" customHeight="1">
      <c r="A131" s="1259"/>
      <c r="B131" s="1259"/>
      <c r="C131" s="1259"/>
      <c r="D131" s="1259"/>
      <c r="E131" s="1259"/>
      <c r="F131" s="1259"/>
      <c r="G131" s="1259"/>
      <c r="H131" s="1259"/>
      <c r="I131" s="1259"/>
      <c r="J131" s="1259"/>
      <c r="K131" s="1259"/>
      <c r="L131" s="1259"/>
      <c r="M131" s="1259"/>
      <c r="N131" s="1259"/>
      <c r="O131" s="1259"/>
      <c r="P131" s="1259"/>
      <c r="Q131" s="1259"/>
      <c r="R131" s="1259"/>
      <c r="S131" s="1259"/>
      <c r="T131" s="1259"/>
      <c r="U131" s="1259"/>
      <c r="V131" s="1259"/>
      <c r="W131" s="1259"/>
      <c r="X131" s="1259"/>
      <c r="Y131" s="1259"/>
      <c r="Z131" s="1259"/>
    </row>
    <row r="132" spans="1:26" ht="15.75" customHeight="1">
      <c r="A132" s="1259"/>
      <c r="B132" s="1259"/>
      <c r="C132" s="1259"/>
      <c r="D132" s="1259"/>
      <c r="E132" s="1259"/>
      <c r="F132" s="1259"/>
      <c r="G132" s="1259"/>
      <c r="H132" s="1259"/>
      <c r="I132" s="1259"/>
      <c r="J132" s="1259"/>
      <c r="K132" s="1259"/>
      <c r="L132" s="1259"/>
      <c r="M132" s="1259"/>
      <c r="N132" s="1259"/>
      <c r="O132" s="1259"/>
      <c r="P132" s="1259"/>
      <c r="Q132" s="1259"/>
      <c r="R132" s="1259"/>
      <c r="S132" s="1259"/>
      <c r="T132" s="1259"/>
      <c r="U132" s="1259"/>
      <c r="V132" s="1259"/>
      <c r="W132" s="1259"/>
      <c r="X132" s="1259"/>
      <c r="Y132" s="1259"/>
      <c r="Z132" s="1259"/>
    </row>
    <row r="133" spans="1:26" ht="15.75" customHeight="1">
      <c r="A133" s="1259"/>
      <c r="B133" s="1259"/>
      <c r="C133" s="1259"/>
      <c r="D133" s="1259"/>
      <c r="E133" s="1259"/>
      <c r="F133" s="1259"/>
      <c r="G133" s="1259"/>
      <c r="H133" s="1259"/>
      <c r="I133" s="1259"/>
      <c r="J133" s="1259"/>
      <c r="K133" s="1259"/>
      <c r="L133" s="1259"/>
      <c r="M133" s="1259"/>
      <c r="N133" s="1259"/>
      <c r="O133" s="1259"/>
      <c r="P133" s="1259"/>
      <c r="Q133" s="1259"/>
      <c r="R133" s="1259"/>
      <c r="S133" s="1259"/>
      <c r="T133" s="1259"/>
      <c r="U133" s="1259"/>
      <c r="V133" s="1259"/>
      <c r="W133" s="1259"/>
      <c r="X133" s="1259"/>
      <c r="Y133" s="1259"/>
      <c r="Z133" s="1259"/>
    </row>
    <row r="134" spans="1:26" ht="15.75" customHeight="1">
      <c r="A134" s="1259"/>
      <c r="B134" s="1259"/>
      <c r="C134" s="1259"/>
      <c r="D134" s="1259"/>
      <c r="E134" s="1259"/>
      <c r="F134" s="1259"/>
      <c r="G134" s="1259"/>
      <c r="H134" s="1259"/>
      <c r="I134" s="1259"/>
      <c r="J134" s="1259"/>
      <c r="K134" s="1259"/>
      <c r="L134" s="1259"/>
      <c r="M134" s="1259"/>
      <c r="N134" s="1259"/>
      <c r="O134" s="1259"/>
      <c r="P134" s="1259"/>
      <c r="Q134" s="1259"/>
      <c r="R134" s="1259"/>
      <c r="S134" s="1259"/>
      <c r="T134" s="1259"/>
      <c r="U134" s="1259"/>
      <c r="V134" s="1259"/>
      <c r="W134" s="1259"/>
      <c r="X134" s="1259"/>
      <c r="Y134" s="1259"/>
      <c r="Z134" s="1259"/>
    </row>
    <row r="135" spans="1:26" ht="15.75" customHeight="1">
      <c r="A135" s="1259"/>
      <c r="B135" s="1259"/>
      <c r="C135" s="1259"/>
      <c r="D135" s="1259"/>
      <c r="E135" s="1259"/>
      <c r="F135" s="1259"/>
      <c r="G135" s="1259"/>
      <c r="H135" s="1259"/>
      <c r="I135" s="1259"/>
      <c r="J135" s="1259"/>
      <c r="K135" s="1259"/>
      <c r="L135" s="1259"/>
      <c r="M135" s="1259"/>
      <c r="N135" s="1259"/>
      <c r="O135" s="1259"/>
      <c r="P135" s="1259"/>
      <c r="Q135" s="1259"/>
      <c r="R135" s="1259"/>
      <c r="S135" s="1259"/>
      <c r="T135" s="1259"/>
      <c r="U135" s="1259"/>
      <c r="V135" s="1259"/>
      <c r="W135" s="1259"/>
      <c r="X135" s="1259"/>
      <c r="Y135" s="1259"/>
      <c r="Z135" s="1259"/>
    </row>
    <row r="136" spans="1:26" ht="15.75" customHeight="1">
      <c r="A136" s="1259"/>
      <c r="B136" s="1259"/>
      <c r="C136" s="1259"/>
      <c r="D136" s="1259"/>
      <c r="E136" s="1259"/>
      <c r="F136" s="1259"/>
      <c r="G136" s="1259"/>
      <c r="H136" s="1259"/>
      <c r="I136" s="1259"/>
      <c r="J136" s="1259"/>
      <c r="K136" s="1259"/>
      <c r="L136" s="1259"/>
      <c r="M136" s="1259"/>
      <c r="N136" s="1259"/>
      <c r="O136" s="1259"/>
      <c r="P136" s="1259"/>
      <c r="Q136" s="1259"/>
      <c r="R136" s="1259"/>
      <c r="S136" s="1259"/>
      <c r="T136" s="1259"/>
      <c r="U136" s="1259"/>
      <c r="V136" s="1259"/>
      <c r="W136" s="1259"/>
      <c r="X136" s="1259"/>
      <c r="Y136" s="1259"/>
      <c r="Z136" s="1259"/>
    </row>
    <row r="137" spans="1:26" ht="15.75" customHeight="1">
      <c r="A137" s="1259"/>
      <c r="B137" s="1259"/>
      <c r="C137" s="1259"/>
      <c r="D137" s="1259"/>
      <c r="E137" s="1259"/>
      <c r="F137" s="1259"/>
      <c r="G137" s="1259"/>
      <c r="H137" s="1259"/>
      <c r="I137" s="1259"/>
      <c r="J137" s="1259"/>
      <c r="K137" s="1259"/>
      <c r="L137" s="1259"/>
      <c r="M137" s="1259"/>
      <c r="N137" s="1259"/>
      <c r="O137" s="1259"/>
      <c r="P137" s="1259"/>
      <c r="Q137" s="1259"/>
      <c r="R137" s="1259"/>
      <c r="S137" s="1259"/>
      <c r="T137" s="1259"/>
      <c r="U137" s="1259"/>
      <c r="V137" s="1259"/>
      <c r="W137" s="1259"/>
      <c r="X137" s="1259"/>
      <c r="Y137" s="1259"/>
      <c r="Z137" s="1259"/>
    </row>
    <row r="138" spans="1:26" ht="15.75" customHeight="1">
      <c r="A138" s="1259"/>
      <c r="B138" s="1259"/>
      <c r="C138" s="1259"/>
      <c r="D138" s="1259"/>
      <c r="E138" s="1259"/>
      <c r="F138" s="1259"/>
      <c r="G138" s="1259"/>
      <c r="H138" s="1259"/>
      <c r="I138" s="1259"/>
      <c r="J138" s="1259"/>
      <c r="K138" s="1259"/>
      <c r="L138" s="1259"/>
      <c r="M138" s="1259"/>
      <c r="N138" s="1259"/>
      <c r="O138" s="1259"/>
      <c r="P138" s="1259"/>
      <c r="Q138" s="1259"/>
      <c r="R138" s="1259"/>
      <c r="S138" s="1259"/>
      <c r="T138" s="1259"/>
      <c r="U138" s="1259"/>
      <c r="V138" s="1259"/>
      <c r="W138" s="1259"/>
      <c r="X138" s="1259"/>
      <c r="Y138" s="1259"/>
      <c r="Z138" s="1259"/>
    </row>
    <row r="139" spans="1:26" ht="15.75" customHeight="1">
      <c r="A139" s="1259"/>
      <c r="B139" s="1259"/>
      <c r="C139" s="1259"/>
      <c r="D139" s="1259"/>
      <c r="E139" s="1259"/>
      <c r="F139" s="1259"/>
      <c r="G139" s="1259"/>
      <c r="H139" s="1259"/>
      <c r="I139" s="1259"/>
      <c r="J139" s="1259"/>
      <c r="K139" s="1259"/>
      <c r="L139" s="1259"/>
      <c r="M139" s="1259"/>
      <c r="N139" s="1259"/>
      <c r="O139" s="1259"/>
      <c r="P139" s="1259"/>
      <c r="Q139" s="1259"/>
      <c r="R139" s="1259"/>
      <c r="S139" s="1259"/>
      <c r="T139" s="1259"/>
      <c r="U139" s="1259"/>
      <c r="V139" s="1259"/>
      <c r="W139" s="1259"/>
      <c r="X139" s="1259"/>
      <c r="Y139" s="1259"/>
      <c r="Z139" s="1259"/>
    </row>
    <row r="140" spans="1:26" ht="15.75" customHeight="1">
      <c r="A140" s="1259"/>
      <c r="B140" s="1259"/>
      <c r="C140" s="1259"/>
      <c r="D140" s="1259"/>
      <c r="E140" s="1259"/>
      <c r="F140" s="1259"/>
      <c r="G140" s="1259"/>
      <c r="H140" s="1259"/>
      <c r="I140" s="1259"/>
      <c r="J140" s="1259"/>
      <c r="K140" s="1259"/>
      <c r="L140" s="1259"/>
      <c r="M140" s="1259"/>
      <c r="N140" s="1259"/>
      <c r="O140" s="1259"/>
      <c r="P140" s="1259"/>
      <c r="Q140" s="1259"/>
      <c r="R140" s="1259"/>
      <c r="S140" s="1259"/>
      <c r="T140" s="1259"/>
      <c r="U140" s="1259"/>
      <c r="V140" s="1259"/>
      <c r="W140" s="1259"/>
      <c r="X140" s="1259"/>
      <c r="Y140" s="1259"/>
      <c r="Z140" s="1259"/>
    </row>
    <row r="141" spans="1:26" ht="15.75" customHeight="1">
      <c r="A141" s="1259"/>
      <c r="B141" s="1259"/>
      <c r="C141" s="1259"/>
      <c r="D141" s="1259"/>
      <c r="E141" s="1259"/>
      <c r="F141" s="1259"/>
      <c r="G141" s="1259"/>
      <c r="H141" s="1259"/>
      <c r="I141" s="1259"/>
      <c r="J141" s="1259"/>
      <c r="K141" s="1259"/>
      <c r="L141" s="1259"/>
      <c r="M141" s="1259"/>
      <c r="N141" s="1259"/>
      <c r="O141" s="1259"/>
      <c r="P141" s="1259"/>
      <c r="Q141" s="1259"/>
      <c r="R141" s="1259"/>
      <c r="S141" s="1259"/>
      <c r="T141" s="1259"/>
      <c r="U141" s="1259"/>
      <c r="V141" s="1259"/>
      <c r="W141" s="1259"/>
      <c r="X141" s="1259"/>
      <c r="Y141" s="1259"/>
      <c r="Z141" s="1259"/>
    </row>
    <row r="142" spans="1:26" ht="15.75" customHeight="1">
      <c r="A142" s="1259"/>
      <c r="B142" s="1259"/>
      <c r="C142" s="1259"/>
      <c r="D142" s="1259"/>
      <c r="E142" s="1259"/>
      <c r="F142" s="1259"/>
      <c r="G142" s="1259"/>
      <c r="H142" s="1259"/>
      <c r="I142" s="1259"/>
      <c r="J142" s="1259"/>
      <c r="K142" s="1259"/>
      <c r="L142" s="1259"/>
      <c r="M142" s="1259"/>
      <c r="N142" s="1259"/>
      <c r="O142" s="1259"/>
      <c r="P142" s="1259"/>
      <c r="Q142" s="1259"/>
      <c r="R142" s="1259"/>
      <c r="S142" s="1259"/>
      <c r="T142" s="1259"/>
      <c r="U142" s="1259"/>
      <c r="V142" s="1259"/>
      <c r="W142" s="1259"/>
      <c r="X142" s="1259"/>
      <c r="Y142" s="1259"/>
      <c r="Z142" s="1259"/>
    </row>
    <row r="143" spans="1:26" ht="15.75" customHeight="1">
      <c r="A143" s="1259"/>
      <c r="B143" s="1259"/>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ht="15.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ht="15.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row>
    <row r="146" spans="1:26" ht="15.75" customHeight="1">
      <c r="A146" s="1259"/>
      <c r="B146" s="1259"/>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ht="15.75" customHeight="1">
      <c r="A147" s="1259"/>
      <c r="B147" s="1259"/>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ht="15.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row>
    <row r="149" spans="1:26" ht="15.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ht="15.75" customHeight="1">
      <c r="A150" s="1259"/>
      <c r="B150" s="1259"/>
      <c r="C150" s="1259"/>
      <c r="D150" s="1259"/>
      <c r="E150" s="1259"/>
      <c r="F150" s="1259"/>
      <c r="G150" s="1259"/>
      <c r="H150" s="1259"/>
      <c r="I150" s="1259"/>
      <c r="J150" s="1259"/>
      <c r="K150" s="1259"/>
      <c r="L150" s="1259"/>
      <c r="M150" s="1259"/>
      <c r="N150" s="1259"/>
      <c r="O150" s="1259"/>
      <c r="P150" s="1259"/>
      <c r="Q150" s="1259"/>
      <c r="R150" s="1259"/>
      <c r="S150" s="1259"/>
      <c r="T150" s="1259"/>
      <c r="U150" s="1259"/>
      <c r="V150" s="1259"/>
      <c r="W150" s="1259"/>
      <c r="X150" s="1259"/>
      <c r="Y150" s="1259"/>
      <c r="Z150" s="1259"/>
    </row>
    <row r="151" spans="1:26" ht="15.75" customHeight="1">
      <c r="A151" s="1259"/>
      <c r="B151" s="1259"/>
      <c r="C151" s="1259"/>
      <c r="D151" s="1259"/>
      <c r="E151" s="1259"/>
      <c r="F151" s="1259"/>
      <c r="G151" s="1259"/>
      <c r="H151" s="1259"/>
      <c r="I151" s="1259"/>
      <c r="J151" s="1259"/>
      <c r="K151" s="1259"/>
      <c r="L151" s="1259"/>
      <c r="M151" s="1259"/>
      <c r="N151" s="1259"/>
      <c r="O151" s="1259"/>
      <c r="P151" s="1259"/>
      <c r="Q151" s="1259"/>
      <c r="R151" s="1259"/>
      <c r="S151" s="1259"/>
      <c r="T151" s="1259"/>
      <c r="U151" s="1259"/>
      <c r="V151" s="1259"/>
      <c r="W151" s="1259"/>
      <c r="X151" s="1259"/>
      <c r="Y151" s="1259"/>
      <c r="Z151" s="1259"/>
    </row>
    <row r="152" spans="1:26" ht="15.75" customHeight="1">
      <c r="A152" s="1259"/>
      <c r="B152" s="1259"/>
      <c r="C152" s="1259"/>
      <c r="D152" s="1259"/>
      <c r="E152" s="1259"/>
      <c r="F152" s="1259"/>
      <c r="G152" s="1259"/>
      <c r="H152" s="1259"/>
      <c r="I152" s="1259"/>
      <c r="J152" s="1259"/>
      <c r="K152" s="1259"/>
      <c r="L152" s="1259"/>
      <c r="M152" s="1259"/>
      <c r="N152" s="1259"/>
      <c r="O152" s="1259"/>
      <c r="P152" s="1259"/>
      <c r="Q152" s="1259"/>
      <c r="R152" s="1259"/>
      <c r="S152" s="1259"/>
      <c r="T152" s="1259"/>
      <c r="U152" s="1259"/>
      <c r="V152" s="1259"/>
      <c r="W152" s="1259"/>
      <c r="X152" s="1259"/>
      <c r="Y152" s="1259"/>
      <c r="Z152" s="1259"/>
    </row>
    <row r="153" spans="1:26" ht="15.75" customHeight="1">
      <c r="A153" s="1259"/>
      <c r="B153" s="1259"/>
      <c r="C153" s="1259"/>
      <c r="D153" s="1259"/>
      <c r="E153" s="1259"/>
      <c r="F153" s="1259"/>
      <c r="G153" s="1259"/>
      <c r="H153" s="1259"/>
      <c r="I153" s="1259"/>
      <c r="J153" s="1259"/>
      <c r="K153" s="1259"/>
      <c r="L153" s="1259"/>
      <c r="M153" s="1259"/>
      <c r="N153" s="1259"/>
      <c r="O153" s="1259"/>
      <c r="P153" s="1259"/>
      <c r="Q153" s="1259"/>
      <c r="R153" s="1259"/>
      <c r="S153" s="1259"/>
      <c r="T153" s="1259"/>
      <c r="U153" s="1259"/>
      <c r="V153" s="1259"/>
      <c r="W153" s="1259"/>
      <c r="X153" s="1259"/>
      <c r="Y153" s="1259"/>
      <c r="Z153" s="1259"/>
    </row>
    <row r="154" spans="1:26" ht="15.75" customHeight="1">
      <c r="A154" s="1259"/>
      <c r="B154" s="1259"/>
      <c r="C154" s="1259"/>
      <c r="D154" s="1259"/>
      <c r="E154" s="1259"/>
      <c r="F154" s="1259"/>
      <c r="G154" s="1259"/>
      <c r="H154" s="1259"/>
      <c r="I154" s="1259"/>
      <c r="J154" s="1259"/>
      <c r="K154" s="1259"/>
      <c r="L154" s="1259"/>
      <c r="M154" s="1259"/>
      <c r="N154" s="1259"/>
      <c r="O154" s="1259"/>
      <c r="P154" s="1259"/>
      <c r="Q154" s="1259"/>
      <c r="R154" s="1259"/>
      <c r="S154" s="1259"/>
      <c r="T154" s="1259"/>
      <c r="U154" s="1259"/>
      <c r="V154" s="1259"/>
      <c r="W154" s="1259"/>
      <c r="X154" s="1259"/>
      <c r="Y154" s="1259"/>
      <c r="Z154" s="1259"/>
    </row>
    <row r="155" spans="1:26" ht="15.75" customHeight="1">
      <c r="A155" s="1259"/>
      <c r="B155" s="1259"/>
      <c r="C155" s="1259"/>
      <c r="D155" s="1259"/>
      <c r="E155" s="1259"/>
      <c r="F155" s="1259"/>
      <c r="G155" s="1259"/>
      <c r="H155" s="1259"/>
      <c r="I155" s="1259"/>
      <c r="J155" s="1259"/>
      <c r="K155" s="1259"/>
      <c r="L155" s="1259"/>
      <c r="M155" s="1259"/>
      <c r="N155" s="1259"/>
      <c r="O155" s="1259"/>
      <c r="P155" s="1259"/>
      <c r="Q155" s="1259"/>
      <c r="R155" s="1259"/>
      <c r="S155" s="1259"/>
      <c r="T155" s="1259"/>
      <c r="U155" s="1259"/>
      <c r="V155" s="1259"/>
      <c r="W155" s="1259"/>
      <c r="X155" s="1259"/>
      <c r="Y155" s="1259"/>
      <c r="Z155" s="1259"/>
    </row>
    <row r="156" spans="1:26" ht="15.75" customHeight="1">
      <c r="A156" s="1259"/>
      <c r="B156" s="1259"/>
      <c r="C156" s="1259"/>
      <c r="D156" s="1259"/>
      <c r="E156" s="1259"/>
      <c r="F156" s="1259"/>
      <c r="G156" s="1259"/>
      <c r="H156" s="1259"/>
      <c r="I156" s="1259"/>
      <c r="J156" s="1259"/>
      <c r="K156" s="1259"/>
      <c r="L156" s="1259"/>
      <c r="M156" s="1259"/>
      <c r="N156" s="1259"/>
      <c r="O156" s="1259"/>
      <c r="P156" s="1259"/>
      <c r="Q156" s="1259"/>
      <c r="R156" s="1259"/>
      <c r="S156" s="1259"/>
      <c r="T156" s="1259"/>
      <c r="U156" s="1259"/>
      <c r="V156" s="1259"/>
      <c r="W156" s="1259"/>
      <c r="X156" s="1259"/>
      <c r="Y156" s="1259"/>
      <c r="Z156" s="1259"/>
    </row>
    <row r="157" spans="1:26" ht="15.75" customHeight="1">
      <c r="A157" s="1259"/>
      <c r="B157" s="1259"/>
      <c r="C157" s="1259"/>
      <c r="D157" s="1259"/>
      <c r="E157" s="1259"/>
      <c r="F157" s="1259"/>
      <c r="G157" s="1259"/>
      <c r="H157" s="1259"/>
      <c r="I157" s="1259"/>
      <c r="J157" s="1259"/>
      <c r="K157" s="1259"/>
      <c r="L157" s="1259"/>
      <c r="M157" s="1259"/>
      <c r="N157" s="1259"/>
      <c r="O157" s="1259"/>
      <c r="P157" s="1259"/>
      <c r="Q157" s="1259"/>
      <c r="R157" s="1259"/>
      <c r="S157" s="1259"/>
      <c r="T157" s="1259"/>
      <c r="U157" s="1259"/>
      <c r="V157" s="1259"/>
      <c r="W157" s="1259"/>
      <c r="X157" s="1259"/>
      <c r="Y157" s="1259"/>
      <c r="Z157" s="1259"/>
    </row>
    <row r="158" spans="1:26" ht="15.75" customHeight="1">
      <c r="A158" s="1259"/>
      <c r="B158" s="1259"/>
      <c r="C158" s="1259"/>
      <c r="D158" s="1259"/>
      <c r="E158" s="1259"/>
      <c r="F158" s="1259"/>
      <c r="G158" s="1259"/>
      <c r="H158" s="1259"/>
      <c r="I158" s="1259"/>
      <c r="J158" s="1259"/>
      <c r="K158" s="1259"/>
      <c r="L158" s="1259"/>
      <c r="M158" s="1259"/>
      <c r="N158" s="1259"/>
      <c r="O158" s="1259"/>
      <c r="P158" s="1259"/>
      <c r="Q158" s="1259"/>
      <c r="R158" s="1259"/>
      <c r="S158" s="1259"/>
      <c r="T158" s="1259"/>
      <c r="U158" s="1259"/>
      <c r="V158" s="1259"/>
      <c r="W158" s="1259"/>
      <c r="X158" s="1259"/>
      <c r="Y158" s="1259"/>
      <c r="Z158" s="1259"/>
    </row>
    <row r="159" spans="1:26" ht="15.75" customHeight="1">
      <c r="A159" s="1259"/>
      <c r="B159" s="1259"/>
      <c r="C159" s="1259"/>
      <c r="D159" s="1259"/>
      <c r="E159" s="1259"/>
      <c r="F159" s="1259"/>
      <c r="G159" s="1259"/>
      <c r="H159" s="1259"/>
      <c r="I159" s="1259"/>
      <c r="J159" s="1259"/>
      <c r="K159" s="1259"/>
      <c r="L159" s="1259"/>
      <c r="M159" s="1259"/>
      <c r="N159" s="1259"/>
      <c r="O159" s="1259"/>
      <c r="P159" s="1259"/>
      <c r="Q159" s="1259"/>
      <c r="R159" s="1259"/>
      <c r="S159" s="1259"/>
      <c r="T159" s="1259"/>
      <c r="U159" s="1259"/>
      <c r="V159" s="1259"/>
      <c r="W159" s="1259"/>
      <c r="X159" s="1259"/>
      <c r="Y159" s="1259"/>
      <c r="Z159" s="1259"/>
    </row>
    <row r="160" spans="1:26" ht="15.75" customHeight="1">
      <c r="A160" s="1259"/>
      <c r="B160" s="1259"/>
      <c r="C160" s="1259"/>
      <c r="D160" s="1259"/>
      <c r="E160" s="1259"/>
      <c r="F160" s="1259"/>
      <c r="G160" s="1259"/>
      <c r="H160" s="1259"/>
      <c r="I160" s="1259"/>
      <c r="J160" s="1259"/>
      <c r="K160" s="1259"/>
      <c r="L160" s="1259"/>
      <c r="M160" s="1259"/>
      <c r="N160" s="1259"/>
      <c r="O160" s="1259"/>
      <c r="P160" s="1259"/>
      <c r="Q160" s="1259"/>
      <c r="R160" s="1259"/>
      <c r="S160" s="1259"/>
      <c r="T160" s="1259"/>
      <c r="U160" s="1259"/>
      <c r="V160" s="1259"/>
      <c r="W160" s="1259"/>
      <c r="X160" s="1259"/>
      <c r="Y160" s="1259"/>
      <c r="Z160" s="1259"/>
    </row>
    <row r="161" spans="1:26" ht="15.75" customHeight="1">
      <c r="A161" s="1259"/>
      <c r="B161" s="1259"/>
      <c r="C161" s="1259"/>
      <c r="D161" s="1259"/>
      <c r="E161" s="1259"/>
      <c r="F161" s="1259"/>
      <c r="G161" s="1259"/>
      <c r="H161" s="1259"/>
      <c r="I161" s="1259"/>
      <c r="J161" s="1259"/>
      <c r="K161" s="1259"/>
      <c r="L161" s="1259"/>
      <c r="M161" s="1259"/>
      <c r="N161" s="1259"/>
      <c r="O161" s="1259"/>
      <c r="P161" s="1259"/>
      <c r="Q161" s="1259"/>
      <c r="R161" s="1259"/>
      <c r="S161" s="1259"/>
      <c r="T161" s="1259"/>
      <c r="U161" s="1259"/>
      <c r="V161" s="1259"/>
      <c r="W161" s="1259"/>
      <c r="X161" s="1259"/>
      <c r="Y161" s="1259"/>
      <c r="Z161" s="1259"/>
    </row>
    <row r="162" spans="1:26" ht="15.75" customHeight="1">
      <c r="A162" s="1259"/>
      <c r="B162" s="1259"/>
      <c r="C162" s="1259"/>
      <c r="D162" s="1259"/>
      <c r="E162" s="1259"/>
      <c r="F162" s="1259"/>
      <c r="G162" s="1259"/>
      <c r="H162" s="1259"/>
      <c r="I162" s="1259"/>
      <c r="J162" s="1259"/>
      <c r="K162" s="1259"/>
      <c r="L162" s="1259"/>
      <c r="M162" s="1259"/>
      <c r="N162" s="1259"/>
      <c r="O162" s="1259"/>
      <c r="P162" s="1259"/>
      <c r="Q162" s="1259"/>
      <c r="R162" s="1259"/>
      <c r="S162" s="1259"/>
      <c r="T162" s="1259"/>
      <c r="U162" s="1259"/>
      <c r="V162" s="1259"/>
      <c r="W162" s="1259"/>
      <c r="X162" s="1259"/>
      <c r="Y162" s="1259"/>
      <c r="Z162" s="1259"/>
    </row>
    <row r="163" spans="1:26" ht="15.75" customHeight="1">
      <c r="A163" s="1259"/>
      <c r="B163" s="1259"/>
      <c r="C163" s="1259"/>
      <c r="D163" s="1259"/>
      <c r="E163" s="1259"/>
      <c r="F163" s="1259"/>
      <c r="G163" s="1259"/>
      <c r="H163" s="1259"/>
      <c r="I163" s="1259"/>
      <c r="J163" s="1259"/>
      <c r="K163" s="1259"/>
      <c r="L163" s="1259"/>
      <c r="M163" s="1259"/>
      <c r="N163" s="1259"/>
      <c r="O163" s="1259"/>
      <c r="P163" s="1259"/>
      <c r="Q163" s="1259"/>
      <c r="R163" s="1259"/>
      <c r="S163" s="1259"/>
      <c r="T163" s="1259"/>
      <c r="U163" s="1259"/>
      <c r="V163" s="1259"/>
      <c r="W163" s="1259"/>
      <c r="X163" s="1259"/>
      <c r="Y163" s="1259"/>
      <c r="Z163" s="1259"/>
    </row>
    <row r="164" spans="1:26" ht="15.75" customHeight="1">
      <c r="A164" s="1259"/>
      <c r="B164" s="1259"/>
      <c r="C164" s="1259"/>
      <c r="D164" s="1259"/>
      <c r="E164" s="1259"/>
      <c r="F164" s="1259"/>
      <c r="G164" s="1259"/>
      <c r="H164" s="1259"/>
      <c r="I164" s="1259"/>
      <c r="J164" s="1259"/>
      <c r="K164" s="1259"/>
      <c r="L164" s="1259"/>
      <c r="M164" s="1259"/>
      <c r="N164" s="1259"/>
      <c r="O164" s="1259"/>
      <c r="P164" s="1259"/>
      <c r="Q164" s="1259"/>
      <c r="R164" s="1259"/>
      <c r="S164" s="1259"/>
      <c r="T164" s="1259"/>
      <c r="U164" s="1259"/>
      <c r="V164" s="1259"/>
      <c r="W164" s="1259"/>
      <c r="X164" s="1259"/>
      <c r="Y164" s="1259"/>
      <c r="Z164" s="1259"/>
    </row>
    <row r="165" spans="1:26" ht="15.75" customHeight="1">
      <c r="A165" s="1259"/>
      <c r="B165" s="1259"/>
      <c r="C165" s="1259"/>
      <c r="D165" s="1259"/>
      <c r="E165" s="1259"/>
      <c r="F165" s="1259"/>
      <c r="G165" s="1259"/>
      <c r="H165" s="1259"/>
      <c r="I165" s="1259"/>
      <c r="J165" s="1259"/>
      <c r="K165" s="1259"/>
      <c r="L165" s="1259"/>
      <c r="M165" s="1259"/>
      <c r="N165" s="1259"/>
      <c r="O165" s="1259"/>
      <c r="P165" s="1259"/>
      <c r="Q165" s="1259"/>
      <c r="R165" s="1259"/>
      <c r="S165" s="1259"/>
      <c r="T165" s="1259"/>
      <c r="U165" s="1259"/>
      <c r="V165" s="1259"/>
      <c r="W165" s="1259"/>
      <c r="X165" s="1259"/>
      <c r="Y165" s="1259"/>
      <c r="Z165" s="1259"/>
    </row>
    <row r="166" spans="1:26" ht="15.75" customHeight="1">
      <c r="A166" s="1259"/>
      <c r="B166" s="1259"/>
      <c r="C166" s="1259"/>
      <c r="D166" s="1259"/>
      <c r="E166" s="1259"/>
      <c r="F166" s="1259"/>
      <c r="G166" s="1259"/>
      <c r="H166" s="1259"/>
      <c r="I166" s="1259"/>
      <c r="J166" s="1259"/>
      <c r="K166" s="1259"/>
      <c r="L166" s="1259"/>
      <c r="M166" s="1259"/>
      <c r="N166" s="1259"/>
      <c r="O166" s="1259"/>
      <c r="P166" s="1259"/>
      <c r="Q166" s="1259"/>
      <c r="R166" s="1259"/>
      <c r="S166" s="1259"/>
      <c r="T166" s="1259"/>
      <c r="U166" s="1259"/>
      <c r="V166" s="1259"/>
      <c r="W166" s="1259"/>
      <c r="X166" s="1259"/>
      <c r="Y166" s="1259"/>
      <c r="Z166" s="1259"/>
    </row>
    <row r="167" spans="1:26" ht="15.75" customHeight="1">
      <c r="A167" s="1259"/>
      <c r="B167" s="1259"/>
      <c r="C167" s="1259"/>
      <c r="D167" s="1259"/>
      <c r="E167" s="1259"/>
      <c r="F167" s="1259"/>
      <c r="G167" s="1259"/>
      <c r="H167" s="1259"/>
      <c r="I167" s="1259"/>
      <c r="J167" s="1259"/>
      <c r="K167" s="1259"/>
      <c r="L167" s="1259"/>
      <c r="M167" s="1259"/>
      <c r="N167" s="1259"/>
      <c r="O167" s="1259"/>
      <c r="P167" s="1259"/>
      <c r="Q167" s="1259"/>
      <c r="R167" s="1259"/>
      <c r="S167" s="1259"/>
      <c r="T167" s="1259"/>
      <c r="U167" s="1259"/>
      <c r="V167" s="1259"/>
      <c r="W167" s="1259"/>
      <c r="X167" s="1259"/>
      <c r="Y167" s="1259"/>
      <c r="Z167" s="1259"/>
    </row>
    <row r="168" spans="1:26" ht="15.75" customHeight="1">
      <c r="A168" s="1259"/>
      <c r="B168" s="1259"/>
      <c r="C168" s="1259"/>
      <c r="D168" s="1259"/>
      <c r="E168" s="1259"/>
      <c r="F168" s="1259"/>
      <c r="G168" s="1259"/>
      <c r="H168" s="1259"/>
      <c r="I168" s="1259"/>
      <c r="J168" s="1259"/>
      <c r="K168" s="1259"/>
      <c r="L168" s="1259"/>
      <c r="M168" s="1259"/>
      <c r="N168" s="1259"/>
      <c r="O168" s="1259"/>
      <c r="P168" s="1259"/>
      <c r="Q168" s="1259"/>
      <c r="R168" s="1259"/>
      <c r="S168" s="1259"/>
      <c r="T168" s="1259"/>
      <c r="U168" s="1259"/>
      <c r="V168" s="1259"/>
      <c r="W168" s="1259"/>
      <c r="X168" s="1259"/>
      <c r="Y168" s="1259"/>
      <c r="Z168" s="1259"/>
    </row>
    <row r="169" spans="1:26" ht="15.75" customHeight="1">
      <c r="A169" s="1259"/>
      <c r="B169" s="1259"/>
      <c r="C169" s="1259"/>
      <c r="D169" s="1259"/>
      <c r="E169" s="1259"/>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row>
    <row r="170" spans="1:26" ht="15.75" customHeigh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row>
    <row r="171" spans="1:26" ht="15.75" customHeight="1">
      <c r="A171" s="1259"/>
      <c r="B171" s="1259"/>
      <c r="C171" s="1259"/>
      <c r="D171" s="1259"/>
      <c r="E171" s="1259"/>
      <c r="F171" s="1259"/>
      <c r="G171" s="1259"/>
      <c r="H171" s="1259"/>
      <c r="I171" s="1259"/>
      <c r="J171" s="1259"/>
      <c r="K171" s="1259"/>
      <c r="L171" s="1259"/>
      <c r="M171" s="1259"/>
      <c r="N171" s="1259"/>
      <c r="O171" s="1259"/>
      <c r="P171" s="1259"/>
      <c r="Q171" s="1259"/>
      <c r="R171" s="1259"/>
      <c r="S171" s="1259"/>
      <c r="T171" s="1259"/>
      <c r="U171" s="1259"/>
      <c r="V171" s="1259"/>
      <c r="W171" s="1259"/>
      <c r="X171" s="1259"/>
      <c r="Y171" s="1259"/>
      <c r="Z171" s="1259"/>
    </row>
    <row r="172" spans="1:26" ht="15.75" customHeight="1">
      <c r="A172" s="1259"/>
      <c r="B172" s="1259"/>
      <c r="C172" s="1259"/>
      <c r="D172" s="1259"/>
      <c r="E172" s="1259"/>
      <c r="F172" s="1259"/>
      <c r="G172" s="1259"/>
      <c r="H172" s="1259"/>
      <c r="I172" s="1259"/>
      <c r="J172" s="1259"/>
      <c r="K172" s="1259"/>
      <c r="L172" s="1259"/>
      <c r="M172" s="1259"/>
      <c r="N172" s="1259"/>
      <c r="O172" s="1259"/>
      <c r="P172" s="1259"/>
      <c r="Q172" s="1259"/>
      <c r="R172" s="1259"/>
      <c r="S172" s="1259"/>
      <c r="T172" s="1259"/>
      <c r="U172" s="1259"/>
      <c r="V172" s="1259"/>
      <c r="W172" s="1259"/>
      <c r="X172" s="1259"/>
      <c r="Y172" s="1259"/>
      <c r="Z172" s="1259"/>
    </row>
    <row r="173" spans="1:26" ht="15.75" customHeight="1">
      <c r="A173" s="1259"/>
      <c r="B173" s="1259"/>
      <c r="C173" s="1259"/>
      <c r="D173" s="1259"/>
      <c r="E173" s="1259"/>
      <c r="F173" s="1259"/>
      <c r="G173" s="1259"/>
      <c r="H173" s="1259"/>
      <c r="I173" s="1259"/>
      <c r="J173" s="1259"/>
      <c r="K173" s="1259"/>
      <c r="L173" s="1259"/>
      <c r="M173" s="1259"/>
      <c r="N173" s="1259"/>
      <c r="O173" s="1259"/>
      <c r="P173" s="1259"/>
      <c r="Q173" s="1259"/>
      <c r="R173" s="1259"/>
      <c r="S173" s="1259"/>
      <c r="T173" s="1259"/>
      <c r="U173" s="1259"/>
      <c r="V173" s="1259"/>
      <c r="W173" s="1259"/>
      <c r="X173" s="1259"/>
      <c r="Y173" s="1259"/>
      <c r="Z173" s="1259"/>
    </row>
    <row r="174" spans="1:26" ht="15.75" customHeight="1">
      <c r="A174" s="1259"/>
      <c r="B174" s="1259"/>
      <c r="C174" s="1259"/>
      <c r="D174" s="1259"/>
      <c r="E174" s="1259"/>
      <c r="F174" s="1259"/>
      <c r="G174" s="1259"/>
      <c r="H174" s="1259"/>
      <c r="I174" s="1259"/>
      <c r="J174" s="1259"/>
      <c r="K174" s="1259"/>
      <c r="L174" s="1259"/>
      <c r="M174" s="1259"/>
      <c r="N174" s="1259"/>
      <c r="O174" s="1259"/>
      <c r="P174" s="1259"/>
      <c r="Q174" s="1259"/>
      <c r="R174" s="1259"/>
      <c r="S174" s="1259"/>
      <c r="T174" s="1259"/>
      <c r="U174" s="1259"/>
      <c r="V174" s="1259"/>
      <c r="W174" s="1259"/>
      <c r="X174" s="1259"/>
      <c r="Y174" s="1259"/>
      <c r="Z174" s="1259"/>
    </row>
    <row r="175" spans="1:26" ht="15.75" customHeight="1">
      <c r="A175" s="1259"/>
      <c r="B175" s="1259"/>
      <c r="C175" s="1259"/>
      <c r="D175" s="1259"/>
      <c r="E175" s="1259"/>
      <c r="F175" s="1259"/>
      <c r="G175" s="1259"/>
      <c r="H175" s="1259"/>
      <c r="I175" s="1259"/>
      <c r="J175" s="1259"/>
      <c r="K175" s="1259"/>
      <c r="L175" s="1259"/>
      <c r="M175" s="1259"/>
      <c r="N175" s="1259"/>
      <c r="O175" s="1259"/>
      <c r="P175" s="1259"/>
      <c r="Q175" s="1259"/>
      <c r="R175" s="1259"/>
      <c r="S175" s="1259"/>
      <c r="T175" s="1259"/>
      <c r="U175" s="1259"/>
      <c r="V175" s="1259"/>
      <c r="W175" s="1259"/>
      <c r="X175" s="1259"/>
      <c r="Y175" s="1259"/>
      <c r="Z175" s="1259"/>
    </row>
    <row r="176" spans="1:26" ht="15.75" customHeight="1">
      <c r="A176" s="1259"/>
      <c r="B176" s="1259"/>
      <c r="C176" s="1259"/>
      <c r="D176" s="1259"/>
      <c r="E176" s="1259"/>
      <c r="F176" s="1259"/>
      <c r="G176" s="1259"/>
      <c r="H176" s="1259"/>
      <c r="I176" s="1259"/>
      <c r="J176" s="1259"/>
      <c r="K176" s="1259"/>
      <c r="L176" s="1259"/>
      <c r="M176" s="1259"/>
      <c r="N176" s="1259"/>
      <c r="O176" s="1259"/>
      <c r="P176" s="1259"/>
      <c r="Q176" s="1259"/>
      <c r="R176" s="1259"/>
      <c r="S176" s="1259"/>
      <c r="T176" s="1259"/>
      <c r="U176" s="1259"/>
      <c r="V176" s="1259"/>
      <c r="W176" s="1259"/>
      <c r="X176" s="1259"/>
      <c r="Y176" s="1259"/>
      <c r="Z176" s="1259"/>
    </row>
    <row r="177" spans="1:26" ht="15.75" customHeight="1">
      <c r="A177" s="1259"/>
      <c r="B177" s="1259"/>
      <c r="C177" s="1259"/>
      <c r="D177" s="1259"/>
      <c r="E177" s="1259"/>
      <c r="F177" s="1259"/>
      <c r="G177" s="1259"/>
      <c r="H177" s="1259"/>
      <c r="I177" s="1259"/>
      <c r="J177" s="1259"/>
      <c r="K177" s="1259"/>
      <c r="L177" s="1259"/>
      <c r="M177" s="1259"/>
      <c r="N177" s="1259"/>
      <c r="O177" s="1259"/>
      <c r="P177" s="1259"/>
      <c r="Q177" s="1259"/>
      <c r="R177" s="1259"/>
      <c r="S177" s="1259"/>
      <c r="T177" s="1259"/>
      <c r="U177" s="1259"/>
      <c r="V177" s="1259"/>
      <c r="W177" s="1259"/>
      <c r="X177" s="1259"/>
      <c r="Y177" s="1259"/>
      <c r="Z177" s="1259"/>
    </row>
    <row r="178" spans="1:26" ht="15.75" customHeight="1">
      <c r="A178" s="1259"/>
      <c r="B178" s="1259"/>
      <c r="C178" s="1259"/>
      <c r="D178" s="1259"/>
      <c r="E178" s="1259"/>
      <c r="F178" s="1259"/>
      <c r="G178" s="1259"/>
      <c r="H178" s="1259"/>
      <c r="I178" s="1259"/>
      <c r="J178" s="1259"/>
      <c r="K178" s="1259"/>
      <c r="L178" s="1259"/>
      <c r="M178" s="1259"/>
      <c r="N178" s="1259"/>
      <c r="O178" s="1259"/>
      <c r="P178" s="1259"/>
      <c r="Q178" s="1259"/>
      <c r="R178" s="1259"/>
      <c r="S178" s="1259"/>
      <c r="T178" s="1259"/>
      <c r="U178" s="1259"/>
      <c r="V178" s="1259"/>
      <c r="W178" s="1259"/>
      <c r="X178" s="1259"/>
      <c r="Y178" s="1259"/>
      <c r="Z178" s="1259"/>
    </row>
    <row r="179" spans="1:26" ht="15.75" customHeight="1">
      <c r="A179" s="1259"/>
      <c r="B179" s="1259"/>
      <c r="C179" s="1259"/>
      <c r="D179" s="1259"/>
      <c r="E179" s="1259"/>
      <c r="F179" s="1259"/>
      <c r="G179" s="1259"/>
      <c r="H179" s="1259"/>
      <c r="I179" s="1259"/>
      <c r="J179" s="1259"/>
      <c r="K179" s="1259"/>
      <c r="L179" s="1259"/>
      <c r="M179" s="1259"/>
      <c r="N179" s="1259"/>
      <c r="O179" s="1259"/>
      <c r="P179" s="1259"/>
      <c r="Q179" s="1259"/>
      <c r="R179" s="1259"/>
      <c r="S179" s="1259"/>
      <c r="T179" s="1259"/>
      <c r="U179" s="1259"/>
      <c r="V179" s="1259"/>
      <c r="W179" s="1259"/>
      <c r="X179" s="1259"/>
      <c r="Y179" s="1259"/>
      <c r="Z179" s="1259"/>
    </row>
    <row r="180" spans="1:26" ht="15.75" customHeight="1">
      <c r="A180" s="1259"/>
      <c r="B180" s="1259"/>
      <c r="C180" s="1259"/>
      <c r="D180" s="1259"/>
      <c r="E180" s="1259"/>
      <c r="F180" s="1259"/>
      <c r="G180" s="1259"/>
      <c r="H180" s="1259"/>
      <c r="I180" s="1259"/>
      <c r="J180" s="1259"/>
      <c r="K180" s="1259"/>
      <c r="L180" s="1259"/>
      <c r="M180" s="1259"/>
      <c r="N180" s="1259"/>
      <c r="O180" s="1259"/>
      <c r="P180" s="1259"/>
      <c r="Q180" s="1259"/>
      <c r="R180" s="1259"/>
      <c r="S180" s="1259"/>
      <c r="T180" s="1259"/>
      <c r="U180" s="1259"/>
      <c r="V180" s="1259"/>
      <c r="W180" s="1259"/>
      <c r="X180" s="1259"/>
      <c r="Y180" s="1259"/>
      <c r="Z180" s="1259"/>
    </row>
    <row r="181" spans="1:26" ht="15.75" customHeight="1">
      <c r="A181" s="1259"/>
      <c r="B181" s="1259"/>
      <c r="C181" s="1259"/>
      <c r="D181" s="1259"/>
      <c r="E181" s="1259"/>
      <c r="F181" s="1259"/>
      <c r="G181" s="1259"/>
      <c r="H181" s="1259"/>
      <c r="I181" s="1259"/>
      <c r="J181" s="1259"/>
      <c r="K181" s="1259"/>
      <c r="L181" s="1259"/>
      <c r="M181" s="1259"/>
      <c r="N181" s="1259"/>
      <c r="O181" s="1259"/>
      <c r="P181" s="1259"/>
      <c r="Q181" s="1259"/>
      <c r="R181" s="1259"/>
      <c r="S181" s="1259"/>
      <c r="T181" s="1259"/>
      <c r="U181" s="1259"/>
      <c r="V181" s="1259"/>
      <c r="W181" s="1259"/>
      <c r="X181" s="1259"/>
      <c r="Y181" s="1259"/>
      <c r="Z181" s="1259"/>
    </row>
    <row r="182" spans="1:26" ht="15.75" customHeight="1">
      <c r="A182" s="1259"/>
      <c r="B182" s="1259"/>
      <c r="C182" s="1259"/>
      <c r="D182" s="1259"/>
      <c r="E182" s="1259"/>
      <c r="F182" s="1259"/>
      <c r="G182" s="1259"/>
      <c r="H182" s="1259"/>
      <c r="I182" s="1259"/>
      <c r="J182" s="1259"/>
      <c r="K182" s="1259"/>
      <c r="L182" s="1259"/>
      <c r="M182" s="1259"/>
      <c r="N182" s="1259"/>
      <c r="O182" s="1259"/>
      <c r="P182" s="1259"/>
      <c r="Q182" s="1259"/>
      <c r="R182" s="1259"/>
      <c r="S182" s="1259"/>
      <c r="T182" s="1259"/>
      <c r="U182" s="1259"/>
      <c r="V182" s="1259"/>
      <c r="W182" s="1259"/>
      <c r="X182" s="1259"/>
      <c r="Y182" s="1259"/>
      <c r="Z182" s="1259"/>
    </row>
    <row r="183" spans="1:26" ht="15.75" customHeight="1">
      <c r="A183" s="1259"/>
      <c r="B183" s="1259"/>
      <c r="C183" s="1259"/>
      <c r="D183" s="1259"/>
      <c r="E183" s="1259"/>
      <c r="F183" s="1259"/>
      <c r="G183" s="1259"/>
      <c r="H183" s="1259"/>
      <c r="I183" s="1259"/>
      <c r="J183" s="1259"/>
      <c r="K183" s="1259"/>
      <c r="L183" s="1259"/>
      <c r="M183" s="1259"/>
      <c r="N183" s="1259"/>
      <c r="O183" s="1259"/>
      <c r="P183" s="1259"/>
      <c r="Q183" s="1259"/>
      <c r="R183" s="1259"/>
      <c r="S183" s="1259"/>
      <c r="T183" s="1259"/>
      <c r="U183" s="1259"/>
      <c r="V183" s="1259"/>
      <c r="W183" s="1259"/>
      <c r="X183" s="1259"/>
      <c r="Y183" s="1259"/>
      <c r="Z183" s="1259"/>
    </row>
    <row r="184" spans="1:26" ht="15.75" customHeight="1">
      <c r="A184" s="1259"/>
      <c r="B184" s="1259"/>
      <c r="C184" s="1259"/>
      <c r="D184" s="1259"/>
      <c r="E184" s="1259"/>
      <c r="F184" s="1259"/>
      <c r="G184" s="1259"/>
      <c r="H184" s="1259"/>
      <c r="I184" s="1259"/>
      <c r="J184" s="1259"/>
      <c r="K184" s="1259"/>
      <c r="L184" s="1259"/>
      <c r="M184" s="1259"/>
      <c r="N184" s="1259"/>
      <c r="O184" s="1259"/>
      <c r="P184" s="1259"/>
      <c r="Q184" s="1259"/>
      <c r="R184" s="1259"/>
      <c r="S184" s="1259"/>
      <c r="T184" s="1259"/>
      <c r="U184" s="1259"/>
      <c r="V184" s="1259"/>
      <c r="W184" s="1259"/>
      <c r="X184" s="1259"/>
      <c r="Y184" s="1259"/>
      <c r="Z184" s="1259"/>
    </row>
    <row r="185" spans="1:26" ht="15.75" customHeight="1">
      <c r="A185" s="1259"/>
      <c r="B185" s="1259"/>
      <c r="C185" s="1259"/>
      <c r="D185" s="1259"/>
      <c r="E185" s="1259"/>
      <c r="F185" s="1259"/>
      <c r="G185" s="1259"/>
      <c r="H185" s="1259"/>
      <c r="I185" s="1259"/>
      <c r="J185" s="1259"/>
      <c r="K185" s="1259"/>
      <c r="L185" s="1259"/>
      <c r="M185" s="1259"/>
      <c r="N185" s="1259"/>
      <c r="O185" s="1259"/>
      <c r="P185" s="1259"/>
      <c r="Q185" s="1259"/>
      <c r="R185" s="1259"/>
      <c r="S185" s="1259"/>
      <c r="T185" s="1259"/>
      <c r="U185" s="1259"/>
      <c r="V185" s="1259"/>
      <c r="W185" s="1259"/>
      <c r="X185" s="1259"/>
      <c r="Y185" s="1259"/>
      <c r="Z185" s="1259"/>
    </row>
    <row r="186" spans="1:26" ht="15.75" customHeight="1">
      <c r="A186" s="1259"/>
      <c r="B186" s="1259"/>
      <c r="C186" s="1259"/>
      <c r="D186" s="1259"/>
      <c r="E186" s="1259"/>
      <c r="F186" s="1259"/>
      <c r="G186" s="1259"/>
      <c r="H186" s="1259"/>
      <c r="I186" s="1259"/>
      <c r="J186" s="1259"/>
      <c r="K186" s="1259"/>
      <c r="L186" s="1259"/>
      <c r="M186" s="1259"/>
      <c r="N186" s="1259"/>
      <c r="O186" s="1259"/>
      <c r="P186" s="1259"/>
      <c r="Q186" s="1259"/>
      <c r="R186" s="1259"/>
      <c r="S186" s="1259"/>
      <c r="T186" s="1259"/>
      <c r="U186" s="1259"/>
      <c r="V186" s="1259"/>
      <c r="W186" s="1259"/>
      <c r="X186" s="1259"/>
      <c r="Y186" s="1259"/>
      <c r="Z186" s="1259"/>
    </row>
    <row r="187" spans="1:26" ht="15.75" customHeight="1">
      <c r="A187" s="1259"/>
      <c r="B187" s="1259"/>
      <c r="C187" s="1259"/>
      <c r="D187" s="1259"/>
      <c r="E187" s="1259"/>
      <c r="F187" s="1259"/>
      <c r="G187" s="1259"/>
      <c r="H187" s="1259"/>
      <c r="I187" s="1259"/>
      <c r="J187" s="1259"/>
      <c r="K187" s="1259"/>
      <c r="L187" s="1259"/>
      <c r="M187" s="1259"/>
      <c r="N187" s="1259"/>
      <c r="O187" s="1259"/>
      <c r="P187" s="1259"/>
      <c r="Q187" s="1259"/>
      <c r="R187" s="1259"/>
      <c r="S187" s="1259"/>
      <c r="T187" s="1259"/>
      <c r="U187" s="1259"/>
      <c r="V187" s="1259"/>
      <c r="W187" s="1259"/>
      <c r="X187" s="1259"/>
      <c r="Y187" s="1259"/>
      <c r="Z187" s="1259"/>
    </row>
    <row r="188" spans="1:26" ht="15.75" customHeight="1">
      <c r="A188" s="1259"/>
      <c r="B188" s="1259"/>
      <c r="C188" s="1259"/>
      <c r="D188" s="1259"/>
      <c r="E188" s="1259"/>
      <c r="F188" s="1259"/>
      <c r="G188" s="1259"/>
      <c r="H188" s="1259"/>
      <c r="I188" s="1259"/>
      <c r="J188" s="1259"/>
      <c r="K188" s="1259"/>
      <c r="L188" s="1259"/>
      <c r="M188" s="1259"/>
      <c r="N188" s="1259"/>
      <c r="O188" s="1259"/>
      <c r="P188" s="1259"/>
      <c r="Q188" s="1259"/>
      <c r="R188" s="1259"/>
      <c r="S188" s="1259"/>
      <c r="T188" s="1259"/>
      <c r="U188" s="1259"/>
      <c r="V188" s="1259"/>
      <c r="W188" s="1259"/>
      <c r="X188" s="1259"/>
      <c r="Y188" s="1259"/>
      <c r="Z188" s="1259"/>
    </row>
    <row r="189" spans="1:26" ht="15.75" customHeight="1">
      <c r="A189" s="1259"/>
      <c r="B189" s="1259"/>
      <c r="C189" s="1259"/>
      <c r="D189" s="1259"/>
      <c r="E189" s="1259"/>
      <c r="F189" s="1259"/>
      <c r="G189" s="1259"/>
      <c r="H189" s="1259"/>
      <c r="I189" s="1259"/>
      <c r="J189" s="1259"/>
      <c r="K189" s="1259"/>
      <c r="L189" s="1259"/>
      <c r="M189" s="1259"/>
      <c r="N189" s="1259"/>
      <c r="O189" s="1259"/>
      <c r="P189" s="1259"/>
      <c r="Q189" s="1259"/>
      <c r="R189" s="1259"/>
      <c r="S189" s="1259"/>
      <c r="T189" s="1259"/>
      <c r="U189" s="1259"/>
      <c r="V189" s="1259"/>
      <c r="W189" s="1259"/>
      <c r="X189" s="1259"/>
      <c r="Y189" s="1259"/>
      <c r="Z189" s="1259"/>
    </row>
    <row r="190" spans="1:26" ht="15.75" customHeight="1">
      <c r="A190" s="1259"/>
      <c r="B190" s="1259"/>
      <c r="C190" s="1259"/>
      <c r="D190" s="1259"/>
      <c r="E190" s="1259"/>
      <c r="F190" s="1259"/>
      <c r="G190" s="1259"/>
      <c r="H190" s="1259"/>
      <c r="I190" s="1259"/>
      <c r="J190" s="1259"/>
      <c r="K190" s="1259"/>
      <c r="L190" s="1259"/>
      <c r="M190" s="1259"/>
      <c r="N190" s="1259"/>
      <c r="O190" s="1259"/>
      <c r="P190" s="1259"/>
      <c r="Q190" s="1259"/>
      <c r="R190" s="1259"/>
      <c r="S190" s="1259"/>
      <c r="T190" s="1259"/>
      <c r="U190" s="1259"/>
      <c r="V190" s="1259"/>
      <c r="W190" s="1259"/>
      <c r="X190" s="1259"/>
      <c r="Y190" s="1259"/>
      <c r="Z190" s="1259"/>
    </row>
    <row r="191" spans="1:26" ht="15.75" customHeight="1">
      <c r="A191" s="1259"/>
      <c r="B191" s="1259"/>
      <c r="C191" s="1259"/>
      <c r="D191" s="1259"/>
      <c r="E191" s="1259"/>
      <c r="F191" s="1259"/>
      <c r="G191" s="1259"/>
      <c r="H191" s="1259"/>
      <c r="I191" s="1259"/>
      <c r="J191" s="1259"/>
      <c r="K191" s="1259"/>
      <c r="L191" s="1259"/>
      <c r="M191" s="1259"/>
      <c r="N191" s="1259"/>
      <c r="O191" s="1259"/>
      <c r="P191" s="1259"/>
      <c r="Q191" s="1259"/>
      <c r="R191" s="1259"/>
      <c r="S191" s="1259"/>
      <c r="T191" s="1259"/>
      <c r="U191" s="1259"/>
      <c r="V191" s="1259"/>
      <c r="W191" s="1259"/>
      <c r="X191" s="1259"/>
      <c r="Y191" s="1259"/>
      <c r="Z191" s="1259"/>
    </row>
    <row r="192" spans="1:26" ht="15.75" customHeight="1">
      <c r="A192" s="1259"/>
      <c r="B192" s="1259"/>
      <c r="C192" s="1259"/>
      <c r="D192" s="1259"/>
      <c r="E192" s="1259"/>
      <c r="F192" s="1259"/>
      <c r="G192" s="1259"/>
      <c r="H192" s="1259"/>
      <c r="I192" s="1259"/>
      <c r="J192" s="1259"/>
      <c r="K192" s="1259"/>
      <c r="L192" s="1259"/>
      <c r="M192" s="1259"/>
      <c r="N192" s="1259"/>
      <c r="O192" s="1259"/>
      <c r="P192" s="1259"/>
      <c r="Q192" s="1259"/>
      <c r="R192" s="1259"/>
      <c r="S192" s="1259"/>
      <c r="T192" s="1259"/>
      <c r="U192" s="1259"/>
      <c r="V192" s="1259"/>
      <c r="W192" s="1259"/>
      <c r="X192" s="1259"/>
      <c r="Y192" s="1259"/>
      <c r="Z192" s="1259"/>
    </row>
    <row r="193" spans="1:26" ht="15.75" customHeight="1">
      <c r="A193" s="1259"/>
      <c r="B193" s="1259"/>
      <c r="C193" s="1259"/>
      <c r="D193" s="1259"/>
      <c r="E193" s="1259"/>
      <c r="F193" s="1259"/>
      <c r="G193" s="1259"/>
      <c r="H193" s="1259"/>
      <c r="I193" s="1259"/>
      <c r="J193" s="1259"/>
      <c r="K193" s="1259"/>
      <c r="L193" s="1259"/>
      <c r="M193" s="1259"/>
      <c r="N193" s="1259"/>
      <c r="O193" s="1259"/>
      <c r="P193" s="1259"/>
      <c r="Q193" s="1259"/>
      <c r="R193" s="1259"/>
      <c r="S193" s="1259"/>
      <c r="T193" s="1259"/>
      <c r="U193" s="1259"/>
      <c r="V193" s="1259"/>
      <c r="W193" s="1259"/>
      <c r="X193" s="1259"/>
      <c r="Y193" s="1259"/>
      <c r="Z193" s="1259"/>
    </row>
    <row r="194" spans="1:26" ht="15.75" customHeight="1">
      <c r="A194" s="1259"/>
      <c r="B194" s="1259"/>
      <c r="C194" s="1259"/>
      <c r="D194" s="1259"/>
      <c r="E194" s="1259"/>
      <c r="F194" s="1259"/>
      <c r="G194" s="1259"/>
      <c r="H194" s="1259"/>
      <c r="I194" s="1259"/>
      <c r="J194" s="1259"/>
      <c r="K194" s="1259"/>
      <c r="L194" s="1259"/>
      <c r="M194" s="1259"/>
      <c r="N194" s="1259"/>
      <c r="O194" s="1259"/>
      <c r="P194" s="1259"/>
      <c r="Q194" s="1259"/>
      <c r="R194" s="1259"/>
      <c r="S194" s="1259"/>
      <c r="T194" s="1259"/>
      <c r="U194" s="1259"/>
      <c r="V194" s="1259"/>
      <c r="W194" s="1259"/>
      <c r="X194" s="1259"/>
      <c r="Y194" s="1259"/>
      <c r="Z194" s="1259"/>
    </row>
    <row r="195" spans="1:26" ht="15.75" customHeight="1">
      <c r="A195" s="1259"/>
      <c r="B195" s="1259"/>
      <c r="C195" s="1259"/>
      <c r="D195" s="1259"/>
      <c r="E195" s="1259"/>
      <c r="F195" s="1259"/>
      <c r="G195" s="1259"/>
      <c r="H195" s="1259"/>
      <c r="I195" s="1259"/>
      <c r="J195" s="1259"/>
      <c r="K195" s="1259"/>
      <c r="L195" s="1259"/>
      <c r="M195" s="1259"/>
      <c r="N195" s="1259"/>
      <c r="O195" s="1259"/>
      <c r="P195" s="1259"/>
      <c r="Q195" s="1259"/>
      <c r="R195" s="1259"/>
      <c r="S195" s="1259"/>
      <c r="T195" s="1259"/>
      <c r="U195" s="1259"/>
      <c r="V195" s="1259"/>
      <c r="W195" s="1259"/>
      <c r="X195" s="1259"/>
      <c r="Y195" s="1259"/>
      <c r="Z195" s="1259"/>
    </row>
    <row r="196" spans="1:26" ht="15.75" customHeight="1">
      <c r="A196" s="1259"/>
      <c r="B196" s="1259"/>
      <c r="C196" s="1259"/>
      <c r="D196" s="1259"/>
      <c r="E196" s="1259"/>
      <c r="F196" s="1259"/>
      <c r="G196" s="1259"/>
      <c r="H196" s="1259"/>
      <c r="I196" s="1259"/>
      <c r="J196" s="1259"/>
      <c r="K196" s="1259"/>
      <c r="L196" s="1259"/>
      <c r="M196" s="1259"/>
      <c r="N196" s="1259"/>
      <c r="O196" s="1259"/>
      <c r="P196" s="1259"/>
      <c r="Q196" s="1259"/>
      <c r="R196" s="1259"/>
      <c r="S196" s="1259"/>
      <c r="T196" s="1259"/>
      <c r="U196" s="1259"/>
      <c r="V196" s="1259"/>
      <c r="W196" s="1259"/>
      <c r="X196" s="1259"/>
      <c r="Y196" s="1259"/>
      <c r="Z196" s="1259"/>
    </row>
    <row r="197" spans="1:26" ht="15.75" customHeight="1">
      <c r="A197" s="1259"/>
      <c r="B197" s="1259"/>
      <c r="C197" s="1259"/>
      <c r="D197" s="1259"/>
      <c r="E197" s="1259"/>
      <c r="F197" s="1259"/>
      <c r="G197" s="1259"/>
      <c r="H197" s="1259"/>
      <c r="I197" s="1259"/>
      <c r="J197" s="1259"/>
      <c r="K197" s="1259"/>
      <c r="L197" s="1259"/>
      <c r="M197" s="1259"/>
      <c r="N197" s="1259"/>
      <c r="O197" s="1259"/>
      <c r="P197" s="1259"/>
      <c r="Q197" s="1259"/>
      <c r="R197" s="1259"/>
      <c r="S197" s="1259"/>
      <c r="T197" s="1259"/>
      <c r="U197" s="1259"/>
      <c r="V197" s="1259"/>
      <c r="W197" s="1259"/>
      <c r="X197" s="1259"/>
      <c r="Y197" s="1259"/>
      <c r="Z197" s="1259"/>
    </row>
    <row r="198" spans="1:26" ht="15.75" customHeight="1">
      <c r="A198" s="1259"/>
      <c r="B198" s="1259"/>
      <c r="C198" s="1259"/>
      <c r="D198" s="1259"/>
      <c r="E198" s="1259"/>
      <c r="F198" s="1259"/>
      <c r="G198" s="1259"/>
      <c r="H198" s="1259"/>
      <c r="I198" s="1259"/>
      <c r="J198" s="1259"/>
      <c r="K198" s="1259"/>
      <c r="L198" s="1259"/>
      <c r="M198" s="1259"/>
      <c r="N198" s="1259"/>
      <c r="O198" s="1259"/>
      <c r="P198" s="1259"/>
      <c r="Q198" s="1259"/>
      <c r="R198" s="1259"/>
      <c r="S198" s="1259"/>
      <c r="T198" s="1259"/>
      <c r="U198" s="1259"/>
      <c r="V198" s="1259"/>
      <c r="W198" s="1259"/>
      <c r="X198" s="1259"/>
      <c r="Y198" s="1259"/>
      <c r="Z198" s="1259"/>
    </row>
    <row r="199" spans="1:26" ht="15.75" customHeight="1">
      <c r="A199" s="1259"/>
      <c r="B199" s="1259"/>
      <c r="C199" s="1259"/>
      <c r="D199" s="1259"/>
      <c r="E199" s="1259"/>
      <c r="F199" s="1259"/>
      <c r="G199" s="1259"/>
      <c r="H199" s="1259"/>
      <c r="I199" s="1259"/>
      <c r="J199" s="1259"/>
      <c r="K199" s="1259"/>
      <c r="L199" s="1259"/>
      <c r="M199" s="1259"/>
      <c r="N199" s="1259"/>
      <c r="O199" s="1259"/>
      <c r="P199" s="1259"/>
      <c r="Q199" s="1259"/>
      <c r="R199" s="1259"/>
      <c r="S199" s="1259"/>
      <c r="T199" s="1259"/>
      <c r="U199" s="1259"/>
      <c r="V199" s="1259"/>
      <c r="W199" s="1259"/>
      <c r="X199" s="1259"/>
      <c r="Y199" s="1259"/>
      <c r="Z199" s="1259"/>
    </row>
    <row r="200" spans="1:26" ht="15.75" customHeight="1">
      <c r="A200" s="1259"/>
      <c r="B200" s="1259"/>
      <c r="C200" s="1259"/>
      <c r="D200" s="1259"/>
      <c r="E200" s="1259"/>
      <c r="F200" s="1259"/>
      <c r="G200" s="1259"/>
      <c r="H200" s="1259"/>
      <c r="I200" s="1259"/>
      <c r="J200" s="1259"/>
      <c r="K200" s="1259"/>
      <c r="L200" s="1259"/>
      <c r="M200" s="1259"/>
      <c r="N200" s="1259"/>
      <c r="O200" s="1259"/>
      <c r="P200" s="1259"/>
      <c r="Q200" s="1259"/>
      <c r="R200" s="1259"/>
      <c r="S200" s="1259"/>
      <c r="T200" s="1259"/>
      <c r="U200" s="1259"/>
      <c r="V200" s="1259"/>
      <c r="W200" s="1259"/>
      <c r="X200" s="1259"/>
      <c r="Y200" s="1259"/>
      <c r="Z200" s="1259"/>
    </row>
    <row r="201" spans="1:26" ht="15.75" customHeight="1">
      <c r="A201" s="1259"/>
      <c r="B201" s="1259"/>
      <c r="C201" s="1259"/>
      <c r="D201" s="1259"/>
      <c r="E201" s="1259"/>
      <c r="F201" s="1259"/>
      <c r="G201" s="1259"/>
      <c r="H201" s="1259"/>
      <c r="I201" s="1259"/>
      <c r="J201" s="1259"/>
      <c r="K201" s="1259"/>
      <c r="L201" s="1259"/>
      <c r="M201" s="1259"/>
      <c r="N201" s="1259"/>
      <c r="O201" s="1259"/>
      <c r="P201" s="1259"/>
      <c r="Q201" s="1259"/>
      <c r="R201" s="1259"/>
      <c r="S201" s="1259"/>
      <c r="T201" s="1259"/>
      <c r="U201" s="1259"/>
      <c r="V201" s="1259"/>
      <c r="W201" s="1259"/>
      <c r="X201" s="1259"/>
      <c r="Y201" s="1259"/>
      <c r="Z201" s="1259"/>
    </row>
    <row r="202" spans="1:26" ht="15.75" customHeight="1">
      <c r="A202" s="1259"/>
      <c r="B202" s="1259"/>
      <c r="C202" s="1259"/>
      <c r="D202" s="1259"/>
      <c r="E202" s="1259"/>
      <c r="F202" s="1259"/>
      <c r="G202" s="1259"/>
      <c r="H202" s="1259"/>
      <c r="I202" s="1259"/>
      <c r="J202" s="1259"/>
      <c r="K202" s="1259"/>
      <c r="L202" s="1259"/>
      <c r="M202" s="1259"/>
      <c r="N202" s="1259"/>
      <c r="O202" s="1259"/>
      <c r="P202" s="1259"/>
      <c r="Q202" s="1259"/>
      <c r="R202" s="1259"/>
      <c r="S202" s="1259"/>
      <c r="T202" s="1259"/>
      <c r="U202" s="1259"/>
      <c r="V202" s="1259"/>
      <c r="W202" s="1259"/>
      <c r="X202" s="1259"/>
      <c r="Y202" s="1259"/>
      <c r="Z202" s="1259"/>
    </row>
    <row r="203" spans="1:26" ht="15.75" customHeight="1">
      <c r="A203" s="1259"/>
      <c r="B203" s="1259"/>
      <c r="C203" s="1259"/>
      <c r="D203" s="1259"/>
      <c r="E203" s="1259"/>
      <c r="F203" s="1259"/>
      <c r="G203" s="1259"/>
      <c r="H203" s="1259"/>
      <c r="I203" s="1259"/>
      <c r="J203" s="1259"/>
      <c r="K203" s="1259"/>
      <c r="L203" s="1259"/>
      <c r="M203" s="1259"/>
      <c r="N203" s="1259"/>
      <c r="O203" s="1259"/>
      <c r="P203" s="1259"/>
      <c r="Q203" s="1259"/>
      <c r="R203" s="1259"/>
      <c r="S203" s="1259"/>
      <c r="T203" s="1259"/>
      <c r="U203" s="1259"/>
      <c r="V203" s="1259"/>
      <c r="W203" s="1259"/>
      <c r="X203" s="1259"/>
      <c r="Y203" s="1259"/>
      <c r="Z203" s="1259"/>
    </row>
    <row r="204" spans="1:26" ht="15.75" customHeight="1">
      <c r="A204" s="1259"/>
      <c r="B204" s="1259"/>
      <c r="C204" s="1259"/>
      <c r="D204" s="1259"/>
      <c r="E204" s="1259"/>
      <c r="F204" s="1259"/>
      <c r="G204" s="1259"/>
      <c r="H204" s="1259"/>
      <c r="I204" s="1259"/>
      <c r="J204" s="1259"/>
      <c r="K204" s="1259"/>
      <c r="L204" s="1259"/>
      <c r="M204" s="1259"/>
      <c r="N204" s="1259"/>
      <c r="O204" s="1259"/>
      <c r="P204" s="1259"/>
      <c r="Q204" s="1259"/>
      <c r="R204" s="1259"/>
      <c r="S204" s="1259"/>
      <c r="T204" s="1259"/>
      <c r="U204" s="1259"/>
      <c r="V204" s="1259"/>
      <c r="W204" s="1259"/>
      <c r="X204" s="1259"/>
      <c r="Y204" s="1259"/>
      <c r="Z204" s="1259"/>
    </row>
    <row r="205" spans="1:26" ht="15.75" customHeight="1">
      <c r="A205" s="1259"/>
      <c r="B205" s="1259"/>
      <c r="C205" s="1259"/>
      <c r="D205" s="1259"/>
      <c r="E205" s="1259"/>
      <c r="F205" s="1259"/>
      <c r="G205" s="1259"/>
      <c r="H205" s="1259"/>
      <c r="I205" s="1259"/>
      <c r="J205" s="1259"/>
      <c r="K205" s="1259"/>
      <c r="L205" s="1259"/>
      <c r="M205" s="1259"/>
      <c r="N205" s="1259"/>
      <c r="O205" s="1259"/>
      <c r="P205" s="1259"/>
      <c r="Q205" s="1259"/>
      <c r="R205" s="1259"/>
      <c r="S205" s="1259"/>
      <c r="T205" s="1259"/>
      <c r="U205" s="1259"/>
      <c r="V205" s="1259"/>
      <c r="W205" s="1259"/>
      <c r="X205" s="1259"/>
      <c r="Y205" s="1259"/>
      <c r="Z205" s="1259"/>
    </row>
    <row r="206" spans="1:26" ht="15.75" customHeight="1">
      <c r="A206" s="1259"/>
      <c r="B206" s="1259"/>
      <c r="C206" s="1259"/>
      <c r="D206" s="1259"/>
      <c r="E206" s="1259"/>
      <c r="F206" s="1259"/>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row>
    <row r="207" spans="1:26" ht="15.75" customHeight="1">
      <c r="A207" s="1259"/>
      <c r="B207" s="1259"/>
      <c r="C207" s="1259"/>
      <c r="D207" s="1259"/>
      <c r="E207" s="1259"/>
      <c r="F207" s="1259"/>
      <c r="G207" s="1259"/>
      <c r="H207" s="1259"/>
      <c r="I207" s="1259"/>
      <c r="J207" s="1259"/>
      <c r="K207" s="1259"/>
      <c r="L207" s="1259"/>
      <c r="M207" s="1259"/>
      <c r="N207" s="1259"/>
      <c r="O207" s="1259"/>
      <c r="P207" s="1259"/>
      <c r="Q207" s="1259"/>
      <c r="R207" s="1259"/>
      <c r="S207" s="1259"/>
      <c r="T207" s="1259"/>
      <c r="U207" s="1259"/>
      <c r="V207" s="1259"/>
      <c r="W207" s="1259"/>
      <c r="X207" s="1259"/>
      <c r="Y207" s="1259"/>
      <c r="Z207" s="1259"/>
    </row>
    <row r="208" spans="1:26" ht="15.75" customHeight="1">
      <c r="A208" s="1259"/>
      <c r="B208" s="1259"/>
      <c r="C208" s="1259"/>
      <c r="D208" s="1259"/>
      <c r="E208" s="1259"/>
      <c r="F208" s="1259"/>
      <c r="G208" s="1259"/>
      <c r="H208" s="1259"/>
      <c r="I208" s="1259"/>
      <c r="J208" s="1259"/>
      <c r="K208" s="1259"/>
      <c r="L208" s="1259"/>
      <c r="M208" s="1259"/>
      <c r="N208" s="1259"/>
      <c r="O208" s="1259"/>
      <c r="P208" s="1259"/>
      <c r="Q208" s="1259"/>
      <c r="R208" s="1259"/>
      <c r="S208" s="1259"/>
      <c r="T208" s="1259"/>
      <c r="U208" s="1259"/>
      <c r="V208" s="1259"/>
      <c r="W208" s="1259"/>
      <c r="X208" s="1259"/>
      <c r="Y208" s="1259"/>
      <c r="Z208" s="1259"/>
    </row>
    <row r="209" spans="1:26" ht="15.75" customHeight="1">
      <c r="A209" s="1259"/>
      <c r="B209" s="1259"/>
      <c r="C209" s="1259"/>
      <c r="D209" s="1259"/>
      <c r="E209" s="1259"/>
      <c r="F209" s="1259"/>
      <c r="G209" s="1259"/>
      <c r="H209" s="1259"/>
      <c r="I209" s="1259"/>
      <c r="J209" s="1259"/>
      <c r="K209" s="1259"/>
      <c r="L209" s="1259"/>
      <c r="M209" s="1259"/>
      <c r="N209" s="1259"/>
      <c r="O209" s="1259"/>
      <c r="P209" s="1259"/>
      <c r="Q209" s="1259"/>
      <c r="R209" s="1259"/>
      <c r="S209" s="1259"/>
      <c r="T209" s="1259"/>
      <c r="U209" s="1259"/>
      <c r="V209" s="1259"/>
      <c r="W209" s="1259"/>
      <c r="X209" s="1259"/>
      <c r="Y209" s="1259"/>
      <c r="Z209" s="1259"/>
    </row>
    <row r="210" spans="1:26" ht="15.75" customHeight="1">
      <c r="A210" s="1259"/>
      <c r="B210" s="1259"/>
      <c r="C210" s="1259"/>
      <c r="D210" s="1259"/>
      <c r="E210" s="1259"/>
      <c r="F210" s="1259"/>
      <c r="G210" s="1259"/>
      <c r="H210" s="1259"/>
      <c r="I210" s="1259"/>
      <c r="J210" s="1259"/>
      <c r="K210" s="1259"/>
      <c r="L210" s="1259"/>
      <c r="M210" s="1259"/>
      <c r="N210" s="1259"/>
      <c r="O210" s="1259"/>
      <c r="P210" s="1259"/>
      <c r="Q210" s="1259"/>
      <c r="R210" s="1259"/>
      <c r="S210" s="1259"/>
      <c r="T210" s="1259"/>
      <c r="U210" s="1259"/>
      <c r="V210" s="1259"/>
      <c r="W210" s="1259"/>
      <c r="X210" s="1259"/>
      <c r="Y210" s="1259"/>
      <c r="Z210" s="1259"/>
    </row>
    <row r="211" spans="1:26" ht="15.75" customHeight="1">
      <c r="A211" s="1259"/>
      <c r="B211" s="1259"/>
      <c r="C211" s="1259"/>
      <c r="D211" s="1259"/>
      <c r="E211" s="1259"/>
      <c r="F211" s="1259"/>
      <c r="G211" s="1259"/>
      <c r="H211" s="1259"/>
      <c r="I211" s="1259"/>
      <c r="J211" s="1259"/>
      <c r="K211" s="1259"/>
      <c r="L211" s="1259"/>
      <c r="M211" s="1259"/>
      <c r="N211" s="1259"/>
      <c r="O211" s="1259"/>
      <c r="P211" s="1259"/>
      <c r="Q211" s="1259"/>
      <c r="R211" s="1259"/>
      <c r="S211" s="1259"/>
      <c r="T211" s="1259"/>
      <c r="U211" s="1259"/>
      <c r="V211" s="1259"/>
      <c r="W211" s="1259"/>
      <c r="X211" s="1259"/>
      <c r="Y211" s="1259"/>
      <c r="Z211" s="1259"/>
    </row>
    <row r="212" spans="1:26" ht="15.75" customHeight="1">
      <c r="A212" s="1259"/>
      <c r="B212" s="1259"/>
      <c r="C212" s="1259"/>
      <c r="D212" s="1259"/>
      <c r="E212" s="1259"/>
      <c r="F212" s="1259"/>
      <c r="G212" s="1259"/>
      <c r="H212" s="1259"/>
      <c r="I212" s="1259"/>
      <c r="J212" s="1259"/>
      <c r="K212" s="1259"/>
      <c r="L212" s="1259"/>
      <c r="M212" s="1259"/>
      <c r="N212" s="1259"/>
      <c r="O212" s="1259"/>
      <c r="P212" s="1259"/>
      <c r="Q212" s="1259"/>
      <c r="R212" s="1259"/>
      <c r="S212" s="1259"/>
      <c r="T212" s="1259"/>
      <c r="U212" s="1259"/>
      <c r="V212" s="1259"/>
      <c r="W212" s="1259"/>
      <c r="X212" s="1259"/>
      <c r="Y212" s="1259"/>
      <c r="Z212" s="1259"/>
    </row>
    <row r="213" spans="1:26" ht="15.75" customHeight="1">
      <c r="A213" s="1259"/>
      <c r="B213" s="1259"/>
      <c r="C213" s="1259"/>
      <c r="D213" s="1259"/>
      <c r="E213" s="1259"/>
      <c r="F213" s="1259"/>
      <c r="G213" s="1259"/>
      <c r="H213" s="1259"/>
      <c r="I213" s="1259"/>
      <c r="J213" s="1259"/>
      <c r="K213" s="1259"/>
      <c r="L213" s="1259"/>
      <c r="M213" s="1259"/>
      <c r="N213" s="1259"/>
      <c r="O213" s="1259"/>
      <c r="P213" s="1259"/>
      <c r="Q213" s="1259"/>
      <c r="R213" s="1259"/>
      <c r="S213" s="1259"/>
      <c r="T213" s="1259"/>
      <c r="U213" s="1259"/>
      <c r="V213" s="1259"/>
      <c r="W213" s="1259"/>
      <c r="X213" s="1259"/>
      <c r="Y213" s="1259"/>
      <c r="Z213" s="1259"/>
    </row>
    <row r="214" spans="1:26" ht="15.75" customHeight="1">
      <c r="A214" s="1259"/>
      <c r="B214" s="1259"/>
      <c r="C214" s="1259"/>
      <c r="D214" s="1259"/>
      <c r="E214" s="1259"/>
      <c r="F214" s="1259"/>
      <c r="G214" s="1259"/>
      <c r="H214" s="1259"/>
      <c r="I214" s="1259"/>
      <c r="J214" s="1259"/>
      <c r="K214" s="1259"/>
      <c r="L214" s="1259"/>
      <c r="M214" s="1259"/>
      <c r="N214" s="1259"/>
      <c r="O214" s="1259"/>
      <c r="P214" s="1259"/>
      <c r="Q214" s="1259"/>
      <c r="R214" s="1259"/>
      <c r="S214" s="1259"/>
      <c r="T214" s="1259"/>
      <c r="U214" s="1259"/>
      <c r="V214" s="1259"/>
      <c r="W214" s="1259"/>
      <c r="X214" s="1259"/>
      <c r="Y214" s="1259"/>
      <c r="Z214" s="1259"/>
    </row>
    <row r="215" spans="1:26" ht="15.75" customHeight="1">
      <c r="A215" s="1259"/>
      <c r="B215" s="1259"/>
      <c r="C215" s="1259"/>
      <c r="D215" s="1259"/>
      <c r="E215" s="1259"/>
      <c r="F215" s="1259"/>
      <c r="G215" s="1259"/>
      <c r="H215" s="1259"/>
      <c r="I215" s="1259"/>
      <c r="J215" s="1259"/>
      <c r="K215" s="1259"/>
      <c r="L215" s="1259"/>
      <c r="M215" s="1259"/>
      <c r="N215" s="1259"/>
      <c r="O215" s="1259"/>
      <c r="P215" s="1259"/>
      <c r="Q215" s="1259"/>
      <c r="R215" s="1259"/>
      <c r="S215" s="1259"/>
      <c r="T215" s="1259"/>
      <c r="U215" s="1259"/>
      <c r="V215" s="1259"/>
      <c r="W215" s="1259"/>
      <c r="X215" s="1259"/>
      <c r="Y215" s="1259"/>
      <c r="Z215" s="1259"/>
    </row>
    <row r="216" spans="1:26" ht="15.75" customHeight="1">
      <c r="A216" s="1259"/>
      <c r="B216" s="1259"/>
      <c r="C216" s="1259"/>
      <c r="D216" s="1259"/>
      <c r="E216" s="1259"/>
      <c r="F216" s="1259"/>
      <c r="G216" s="1259"/>
      <c r="H216" s="1259"/>
      <c r="I216" s="1259"/>
      <c r="J216" s="1259"/>
      <c r="K216" s="1259"/>
      <c r="L216" s="1259"/>
      <c r="M216" s="1259"/>
      <c r="N216" s="1259"/>
      <c r="O216" s="1259"/>
      <c r="P216" s="1259"/>
      <c r="Q216" s="1259"/>
      <c r="R216" s="1259"/>
      <c r="S216" s="1259"/>
      <c r="T216" s="1259"/>
      <c r="U216" s="1259"/>
      <c r="V216" s="1259"/>
      <c r="W216" s="1259"/>
      <c r="X216" s="1259"/>
      <c r="Y216" s="1259"/>
      <c r="Z216" s="1259"/>
    </row>
    <row r="217" spans="1:26" ht="15.75" customHeight="1">
      <c r="A217" s="1259"/>
      <c r="B217" s="1259"/>
      <c r="C217" s="1259"/>
      <c r="D217" s="1259"/>
      <c r="E217" s="1259"/>
      <c r="F217" s="1259"/>
      <c r="G217" s="1259"/>
      <c r="H217" s="1259"/>
      <c r="I217" s="1259"/>
      <c r="J217" s="1259"/>
      <c r="K217" s="1259"/>
      <c r="L217" s="1259"/>
      <c r="M217" s="1259"/>
      <c r="N217" s="1259"/>
      <c r="O217" s="1259"/>
      <c r="P217" s="1259"/>
      <c r="Q217" s="1259"/>
      <c r="R217" s="1259"/>
      <c r="S217" s="1259"/>
      <c r="T217" s="1259"/>
      <c r="U217" s="1259"/>
      <c r="V217" s="1259"/>
      <c r="W217" s="1259"/>
      <c r="X217" s="1259"/>
      <c r="Y217" s="1259"/>
      <c r="Z217" s="1259"/>
    </row>
    <row r="218" spans="1:26" ht="15.75" customHeigh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row>
    <row r="219" spans="1:26" ht="15.75" customHeight="1">
      <c r="A219" s="1259"/>
      <c r="B219" s="1259"/>
      <c r="C219" s="1259"/>
      <c r="D219" s="1259"/>
      <c r="E219" s="1259"/>
      <c r="F219" s="1259"/>
      <c r="G219" s="1259"/>
      <c r="H219" s="1259"/>
      <c r="I219" s="1259"/>
      <c r="J219" s="1259"/>
      <c r="K219" s="1259"/>
      <c r="L219" s="1259"/>
      <c r="M219" s="1259"/>
      <c r="N219" s="1259"/>
      <c r="O219" s="1259"/>
      <c r="P219" s="1259"/>
      <c r="Q219" s="1259"/>
      <c r="R219" s="1259"/>
      <c r="S219" s="1259"/>
      <c r="T219" s="1259"/>
      <c r="U219" s="1259"/>
      <c r="V219" s="1259"/>
      <c r="W219" s="1259"/>
      <c r="X219" s="1259"/>
      <c r="Y219" s="1259"/>
      <c r="Z219" s="1259"/>
    </row>
    <row r="220" spans="1:26" ht="15.75" customHeight="1">
      <c r="A220" s="1259"/>
      <c r="B220" s="1259"/>
      <c r="C220" s="1259"/>
      <c r="D220" s="1259"/>
      <c r="E220" s="1259"/>
      <c r="F220" s="1259"/>
      <c r="G220" s="1259"/>
      <c r="H220" s="1259"/>
      <c r="I220" s="1259"/>
      <c r="J220" s="1259"/>
      <c r="K220" s="1259"/>
      <c r="L220" s="1259"/>
      <c r="M220" s="1259"/>
      <c r="N220" s="1259"/>
      <c r="O220" s="1259"/>
      <c r="P220" s="1259"/>
      <c r="Q220" s="1259"/>
      <c r="R220" s="1259"/>
      <c r="S220" s="1259"/>
      <c r="T220" s="1259"/>
      <c r="U220" s="1259"/>
      <c r="V220" s="1259"/>
      <c r="W220" s="1259"/>
      <c r="X220" s="1259"/>
      <c r="Y220" s="1259"/>
      <c r="Z220" s="1259"/>
    </row>
    <row r="221" spans="1:26" ht="15.75" customHeight="1">
      <c r="A221" s="1259"/>
      <c r="B221" s="1259"/>
      <c r="C221" s="1259"/>
      <c r="D221" s="1259"/>
      <c r="E221" s="1259"/>
      <c r="F221" s="1259"/>
      <c r="G221" s="1259"/>
      <c r="H221" s="1259"/>
      <c r="I221" s="1259"/>
      <c r="J221" s="1259"/>
      <c r="K221" s="1259"/>
      <c r="L221" s="1259"/>
      <c r="M221" s="1259"/>
      <c r="N221" s="1259"/>
      <c r="O221" s="1259"/>
      <c r="P221" s="1259"/>
      <c r="Q221" s="1259"/>
      <c r="R221" s="1259"/>
      <c r="S221" s="1259"/>
      <c r="T221" s="1259"/>
      <c r="U221" s="1259"/>
      <c r="V221" s="1259"/>
      <c r="W221" s="1259"/>
      <c r="X221" s="1259"/>
      <c r="Y221" s="1259"/>
      <c r="Z221" s="1259"/>
    </row>
    <row r="222" spans="1:26" ht="15.75" customHeight="1">
      <c r="A222" s="1259"/>
      <c r="B222" s="1259"/>
      <c r="C222" s="1259"/>
      <c r="D222" s="1259"/>
      <c r="E222" s="1259"/>
      <c r="F222" s="1259"/>
      <c r="G222" s="1259"/>
      <c r="H222" s="1259"/>
      <c r="I222" s="1259"/>
      <c r="J222" s="1259"/>
      <c r="K222" s="1259"/>
      <c r="L222" s="1259"/>
      <c r="M222" s="1259"/>
      <c r="N222" s="1259"/>
      <c r="O222" s="1259"/>
      <c r="P222" s="1259"/>
      <c r="Q222" s="1259"/>
      <c r="R222" s="1259"/>
      <c r="S222" s="1259"/>
      <c r="T222" s="1259"/>
      <c r="U222" s="1259"/>
      <c r="V222" s="1259"/>
      <c r="W222" s="1259"/>
      <c r="X222" s="1259"/>
      <c r="Y222" s="1259"/>
      <c r="Z222" s="1259"/>
    </row>
    <row r="223" spans="1:26" ht="15.75" customHeight="1">
      <c r="A223" s="1259"/>
      <c r="B223" s="1259"/>
      <c r="C223" s="1259"/>
      <c r="D223" s="1259"/>
      <c r="E223" s="1259"/>
      <c r="F223" s="1259"/>
      <c r="G223" s="1259"/>
      <c r="H223" s="1259"/>
      <c r="I223" s="1259"/>
      <c r="J223" s="1259"/>
      <c r="K223" s="1259"/>
      <c r="L223" s="1259"/>
      <c r="M223" s="1259"/>
      <c r="N223" s="1259"/>
      <c r="O223" s="1259"/>
      <c r="P223" s="1259"/>
      <c r="Q223" s="1259"/>
      <c r="R223" s="1259"/>
      <c r="S223" s="1259"/>
      <c r="T223" s="1259"/>
      <c r="U223" s="1259"/>
      <c r="V223" s="1259"/>
      <c r="W223" s="1259"/>
      <c r="X223" s="1259"/>
      <c r="Y223" s="1259"/>
      <c r="Z223" s="1259"/>
    </row>
    <row r="224" spans="1:26" ht="15.75" customHeight="1">
      <c r="A224" s="1259"/>
      <c r="B224" s="1259"/>
      <c r="C224" s="1259"/>
      <c r="D224" s="1259"/>
      <c r="E224" s="1259"/>
      <c r="F224" s="1259"/>
      <c r="G224" s="1259"/>
      <c r="H224" s="1259"/>
      <c r="I224" s="1259"/>
      <c r="J224" s="1259"/>
      <c r="K224" s="1259"/>
      <c r="L224" s="1259"/>
      <c r="M224" s="1259"/>
      <c r="N224" s="1259"/>
      <c r="O224" s="1259"/>
      <c r="P224" s="1259"/>
      <c r="Q224" s="1259"/>
      <c r="R224" s="1259"/>
      <c r="S224" s="1259"/>
      <c r="T224" s="1259"/>
      <c r="U224" s="1259"/>
      <c r="V224" s="1259"/>
      <c r="W224" s="1259"/>
      <c r="X224" s="1259"/>
      <c r="Y224" s="1259"/>
      <c r="Z224" s="1259"/>
    </row>
    <row r="225" spans="1:26" ht="15.75" customHeight="1">
      <c r="A225" s="1259"/>
      <c r="B225" s="1259"/>
      <c r="C225" s="1259"/>
      <c r="D225" s="1259"/>
      <c r="E225" s="1259"/>
      <c r="F225" s="1259"/>
      <c r="G225" s="1259"/>
      <c r="H225" s="1259"/>
      <c r="I225" s="1259"/>
      <c r="J225" s="1259"/>
      <c r="K225" s="1259"/>
      <c r="L225" s="1259"/>
      <c r="M225" s="1259"/>
      <c r="N225" s="1259"/>
      <c r="O225" s="1259"/>
      <c r="P225" s="1259"/>
      <c r="Q225" s="1259"/>
      <c r="R225" s="1259"/>
      <c r="S225" s="1259"/>
      <c r="T225" s="1259"/>
      <c r="U225" s="1259"/>
      <c r="V225" s="1259"/>
      <c r="W225" s="1259"/>
      <c r="X225" s="1259"/>
      <c r="Y225" s="1259"/>
      <c r="Z225" s="1259"/>
    </row>
    <row r="226" spans="1:26" ht="15.75" customHeight="1">
      <c r="A226" s="1259"/>
      <c r="B226" s="1259"/>
      <c r="C226" s="1259"/>
      <c r="D226" s="1259"/>
      <c r="E226" s="1259"/>
      <c r="F226" s="1259"/>
      <c r="G226" s="1259"/>
      <c r="H226" s="1259"/>
      <c r="I226" s="1259"/>
      <c r="J226" s="1259"/>
      <c r="K226" s="1259"/>
      <c r="L226" s="1259"/>
      <c r="M226" s="1259"/>
      <c r="N226" s="1259"/>
      <c r="O226" s="1259"/>
      <c r="P226" s="1259"/>
      <c r="Q226" s="1259"/>
      <c r="R226" s="1259"/>
      <c r="S226" s="1259"/>
      <c r="T226" s="1259"/>
      <c r="U226" s="1259"/>
      <c r="V226" s="1259"/>
      <c r="W226" s="1259"/>
      <c r="X226" s="1259"/>
      <c r="Y226" s="1259"/>
      <c r="Z226" s="1259"/>
    </row>
    <row r="227" spans="1:26" ht="15.75" customHeight="1">
      <c r="A227" s="1259"/>
      <c r="B227" s="1259"/>
      <c r="C227" s="1259"/>
      <c r="D227" s="1259"/>
      <c r="E227" s="1259"/>
      <c r="F227" s="1259"/>
      <c r="G227" s="1259"/>
      <c r="H227" s="1259"/>
      <c r="I227" s="1259"/>
      <c r="J227" s="1259"/>
      <c r="K227" s="1259"/>
      <c r="L227" s="1259"/>
      <c r="M227" s="1259"/>
      <c r="N227" s="1259"/>
      <c r="O227" s="1259"/>
      <c r="P227" s="1259"/>
      <c r="Q227" s="1259"/>
      <c r="R227" s="1259"/>
      <c r="S227" s="1259"/>
      <c r="T227" s="1259"/>
      <c r="U227" s="1259"/>
      <c r="V227" s="1259"/>
      <c r="W227" s="1259"/>
      <c r="X227" s="1259"/>
      <c r="Y227" s="1259"/>
      <c r="Z227" s="1259"/>
    </row>
    <row r="228" spans="1:26" ht="15.75" customHeight="1">
      <c r="A228" s="1259"/>
      <c r="B228" s="1259"/>
      <c r="C228" s="1259"/>
      <c r="D228" s="1259"/>
      <c r="E228" s="1259"/>
      <c r="F228" s="1259"/>
      <c r="G228" s="1259"/>
      <c r="H228" s="1259"/>
      <c r="I228" s="1259"/>
      <c r="J228" s="1259"/>
      <c r="K228" s="1259"/>
      <c r="L228" s="1259"/>
      <c r="M228" s="1259"/>
      <c r="N228" s="1259"/>
      <c r="O228" s="1259"/>
      <c r="P228" s="1259"/>
      <c r="Q228" s="1259"/>
      <c r="R228" s="1259"/>
      <c r="S228" s="1259"/>
      <c r="T228" s="1259"/>
      <c r="U228" s="1259"/>
      <c r="V228" s="1259"/>
      <c r="W228" s="1259"/>
      <c r="X228" s="1259"/>
      <c r="Y228" s="1259"/>
      <c r="Z228" s="1259"/>
    </row>
    <row r="229" spans="1:26" ht="15.75" customHeight="1">
      <c r="A229" s="1259"/>
      <c r="B229" s="1259"/>
      <c r="C229" s="1259"/>
      <c r="D229" s="1259"/>
      <c r="E229" s="1259"/>
      <c r="F229" s="1259"/>
      <c r="G229" s="1259"/>
      <c r="H229" s="1259"/>
      <c r="I229" s="1259"/>
      <c r="J229" s="1259"/>
      <c r="K229" s="1259"/>
      <c r="L229" s="1259"/>
      <c r="M229" s="1259"/>
      <c r="N229" s="1259"/>
      <c r="O229" s="1259"/>
      <c r="P229" s="1259"/>
      <c r="Q229" s="1259"/>
      <c r="R229" s="1259"/>
      <c r="S229" s="1259"/>
      <c r="T229" s="1259"/>
      <c r="U229" s="1259"/>
      <c r="V229" s="1259"/>
      <c r="W229" s="1259"/>
      <c r="X229" s="1259"/>
      <c r="Y229" s="1259"/>
      <c r="Z229" s="1259"/>
    </row>
    <row r="230" spans="1:26" ht="15.75" customHeight="1">
      <c r="A230" s="1259"/>
      <c r="B230" s="1259"/>
      <c r="C230" s="1259"/>
      <c r="D230" s="1259"/>
      <c r="E230" s="1259"/>
      <c r="F230" s="1259"/>
      <c r="G230" s="1259"/>
      <c r="H230" s="1259"/>
      <c r="I230" s="1259"/>
      <c r="J230" s="1259"/>
      <c r="K230" s="1259"/>
      <c r="L230" s="1259"/>
      <c r="M230" s="1259"/>
      <c r="N230" s="1259"/>
      <c r="O230" s="1259"/>
      <c r="P230" s="1259"/>
      <c r="Q230" s="1259"/>
      <c r="R230" s="1259"/>
      <c r="S230" s="1259"/>
      <c r="T230" s="1259"/>
      <c r="U230" s="1259"/>
      <c r="V230" s="1259"/>
      <c r="W230" s="1259"/>
      <c r="X230" s="1259"/>
      <c r="Y230" s="1259"/>
      <c r="Z230" s="1259"/>
    </row>
    <row r="231" spans="1:26" ht="15.75" customHeight="1">
      <c r="A231" s="1259"/>
      <c r="B231" s="1259"/>
      <c r="C231" s="1259"/>
      <c r="D231" s="1259"/>
      <c r="E231" s="1259"/>
      <c r="F231" s="1259"/>
      <c r="G231" s="1259"/>
      <c r="H231" s="1259"/>
      <c r="I231" s="1259"/>
      <c r="J231" s="1259"/>
      <c r="K231" s="1259"/>
      <c r="L231" s="1259"/>
      <c r="M231" s="1259"/>
      <c r="N231" s="1259"/>
      <c r="O231" s="1259"/>
      <c r="P231" s="1259"/>
      <c r="Q231" s="1259"/>
      <c r="R231" s="1259"/>
      <c r="S231" s="1259"/>
      <c r="T231" s="1259"/>
      <c r="U231" s="1259"/>
      <c r="V231" s="1259"/>
      <c r="W231" s="1259"/>
      <c r="X231" s="1259"/>
      <c r="Y231" s="1259"/>
      <c r="Z231" s="1259"/>
    </row>
    <row r="232" spans="1:26" ht="15.75" customHeight="1">
      <c r="A232" s="1259"/>
      <c r="B232" s="1259"/>
      <c r="C232" s="1259"/>
      <c r="D232" s="1259"/>
      <c r="E232" s="1259"/>
      <c r="F232" s="1259"/>
      <c r="G232" s="1259"/>
      <c r="H232" s="1259"/>
      <c r="I232" s="1259"/>
      <c r="J232" s="1259"/>
      <c r="K232" s="1259"/>
      <c r="L232" s="1259"/>
      <c r="M232" s="1259"/>
      <c r="N232" s="1259"/>
      <c r="O232" s="1259"/>
      <c r="P232" s="1259"/>
      <c r="Q232" s="1259"/>
      <c r="R232" s="1259"/>
      <c r="S232" s="1259"/>
      <c r="T232" s="1259"/>
      <c r="U232" s="1259"/>
      <c r="V232" s="1259"/>
      <c r="W232" s="1259"/>
      <c r="X232" s="1259"/>
      <c r="Y232" s="1259"/>
      <c r="Z232" s="1259"/>
    </row>
    <row r="233" spans="1:26" ht="15.75" customHeight="1">
      <c r="A233" s="1259"/>
      <c r="B233" s="1259"/>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row>
    <row r="234" spans="1:26" ht="15.75" customHeight="1">
      <c r="A234" s="1259"/>
      <c r="B234" s="1259"/>
      <c r="C234" s="1259"/>
      <c r="D234" s="1259"/>
      <c r="E234" s="1259"/>
      <c r="F234" s="1259"/>
      <c r="G234" s="1259"/>
      <c r="H234" s="1259"/>
      <c r="I234" s="1259"/>
      <c r="J234" s="1259"/>
      <c r="K234" s="1259"/>
      <c r="L234" s="1259"/>
      <c r="M234" s="1259"/>
      <c r="N234" s="1259"/>
      <c r="O234" s="1259"/>
      <c r="P234" s="1259"/>
      <c r="Q234" s="1259"/>
      <c r="R234" s="1259"/>
      <c r="S234" s="1259"/>
      <c r="T234" s="1259"/>
      <c r="U234" s="1259"/>
      <c r="V234" s="1259"/>
      <c r="W234" s="1259"/>
      <c r="X234" s="1259"/>
      <c r="Y234" s="1259"/>
      <c r="Z234" s="1259"/>
    </row>
    <row r="235" spans="1:26" ht="15.75" customHeight="1">
      <c r="A235" s="1259"/>
      <c r="B235" s="1259"/>
      <c r="C235" s="1259"/>
      <c r="D235" s="1259"/>
      <c r="E235" s="1259"/>
      <c r="F235" s="1259"/>
      <c r="G235" s="1259"/>
      <c r="H235" s="1259"/>
      <c r="I235" s="1259"/>
      <c r="J235" s="1259"/>
      <c r="K235" s="1259"/>
      <c r="L235" s="1259"/>
      <c r="M235" s="1259"/>
      <c r="N235" s="1259"/>
      <c r="O235" s="1259"/>
      <c r="P235" s="1259"/>
      <c r="Q235" s="1259"/>
      <c r="R235" s="1259"/>
      <c r="S235" s="1259"/>
      <c r="T235" s="1259"/>
      <c r="U235" s="1259"/>
      <c r="V235" s="1259"/>
      <c r="W235" s="1259"/>
      <c r="X235" s="1259"/>
      <c r="Y235" s="1259"/>
      <c r="Z235" s="1259"/>
    </row>
    <row r="236" spans="1:26" ht="15.75" customHeight="1">
      <c r="A236" s="1259"/>
      <c r="B236" s="1259"/>
      <c r="C236" s="1259"/>
      <c r="D236" s="1259"/>
      <c r="E236" s="1259"/>
      <c r="F236" s="1259"/>
      <c r="G236" s="1259"/>
      <c r="H236" s="1259"/>
      <c r="I236" s="1259"/>
      <c r="J236" s="1259"/>
      <c r="K236" s="1259"/>
      <c r="L236" s="1259"/>
      <c r="M236" s="1259"/>
      <c r="N236" s="1259"/>
      <c r="O236" s="1259"/>
      <c r="P236" s="1259"/>
      <c r="Q236" s="1259"/>
      <c r="R236" s="1259"/>
      <c r="S236" s="1259"/>
      <c r="T236" s="1259"/>
      <c r="U236" s="1259"/>
      <c r="V236" s="1259"/>
      <c r="W236" s="1259"/>
      <c r="X236" s="1259"/>
      <c r="Y236" s="1259"/>
      <c r="Z236" s="1259"/>
    </row>
    <row r="237" spans="1:26" ht="15.75" customHeight="1">
      <c r="A237" s="1259"/>
      <c r="B237" s="1259"/>
      <c r="C237" s="1259"/>
      <c r="D237" s="1259"/>
      <c r="E237" s="1259"/>
      <c r="F237" s="1259"/>
      <c r="G237" s="1259"/>
      <c r="H237" s="1259"/>
      <c r="I237" s="1259"/>
      <c r="J237" s="1259"/>
      <c r="K237" s="1259"/>
      <c r="L237" s="1259"/>
      <c r="M237" s="1259"/>
      <c r="N237" s="1259"/>
      <c r="O237" s="1259"/>
      <c r="P237" s="1259"/>
      <c r="Q237" s="1259"/>
      <c r="R237" s="1259"/>
      <c r="S237" s="1259"/>
      <c r="T237" s="1259"/>
      <c r="U237" s="1259"/>
      <c r="V237" s="1259"/>
      <c r="W237" s="1259"/>
      <c r="X237" s="1259"/>
      <c r="Y237" s="1259"/>
      <c r="Z237" s="1259"/>
    </row>
    <row r="238" spans="1:26" ht="15.75" customHeight="1">
      <c r="A238" s="1259"/>
      <c r="B238" s="1259"/>
      <c r="C238" s="1259"/>
      <c r="D238" s="1259"/>
      <c r="E238" s="1259"/>
      <c r="F238" s="1259"/>
      <c r="G238" s="1259"/>
      <c r="H238" s="1259"/>
      <c r="I238" s="1259"/>
      <c r="J238" s="1259"/>
      <c r="K238" s="1259"/>
      <c r="L238" s="1259"/>
      <c r="M238" s="1259"/>
      <c r="N238" s="1259"/>
      <c r="O238" s="1259"/>
      <c r="P238" s="1259"/>
      <c r="Q238" s="1259"/>
      <c r="R238" s="1259"/>
      <c r="S238" s="1259"/>
      <c r="T238" s="1259"/>
      <c r="U238" s="1259"/>
      <c r="V238" s="1259"/>
      <c r="W238" s="1259"/>
      <c r="X238" s="1259"/>
      <c r="Y238" s="1259"/>
      <c r="Z238" s="1259"/>
    </row>
    <row r="239" spans="1:26" ht="15.75" customHeight="1">
      <c r="A239" s="1259"/>
      <c r="B239" s="1259"/>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row>
    <row r="240" spans="1:26" ht="15.75" customHeight="1">
      <c r="A240" s="1259"/>
      <c r="B240" s="1259"/>
      <c r="C240" s="1259"/>
      <c r="D240" s="1259"/>
      <c r="E240" s="1259"/>
      <c r="F240" s="1259"/>
      <c r="G240" s="1259"/>
      <c r="H240" s="1259"/>
      <c r="I240" s="1259"/>
      <c r="J240" s="1259"/>
      <c r="K240" s="1259"/>
      <c r="L240" s="1259"/>
      <c r="M240" s="1259"/>
      <c r="N240" s="1259"/>
      <c r="O240" s="1259"/>
      <c r="P240" s="1259"/>
      <c r="Q240" s="1259"/>
      <c r="R240" s="1259"/>
      <c r="S240" s="1259"/>
      <c r="T240" s="1259"/>
      <c r="U240" s="1259"/>
      <c r="V240" s="1259"/>
      <c r="W240" s="1259"/>
      <c r="X240" s="1259"/>
      <c r="Y240" s="1259"/>
      <c r="Z240" s="1259"/>
    </row>
    <row r="241" spans="1:26" ht="15.75" customHeight="1">
      <c r="A241" s="1259"/>
      <c r="B241" s="1259"/>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row>
    <row r="242" spans="1:26" ht="15.75" customHeight="1">
      <c r="A242" s="1259"/>
      <c r="B242" s="1259"/>
      <c r="C242" s="1259"/>
      <c r="D242" s="1259"/>
      <c r="E242" s="1259"/>
      <c r="F242" s="1259"/>
      <c r="G242" s="1259"/>
      <c r="H242" s="1259"/>
      <c r="I242" s="1259"/>
      <c r="J242" s="1259"/>
      <c r="K242" s="1259"/>
      <c r="L242" s="1259"/>
      <c r="M242" s="1259"/>
      <c r="N242" s="1259"/>
      <c r="O242" s="1259"/>
      <c r="P242" s="1259"/>
      <c r="Q242" s="1259"/>
      <c r="R242" s="1259"/>
      <c r="S242" s="1259"/>
      <c r="T242" s="1259"/>
      <c r="U242" s="1259"/>
      <c r="V242" s="1259"/>
      <c r="W242" s="1259"/>
      <c r="X242" s="1259"/>
      <c r="Y242" s="1259"/>
      <c r="Z242" s="1259"/>
    </row>
    <row r="243" spans="1:26" ht="15.75" customHeight="1">
      <c r="A243" s="1259"/>
      <c r="B243" s="1259"/>
      <c r="C243" s="1259"/>
      <c r="D243" s="1259"/>
      <c r="E243" s="1259"/>
      <c r="F243" s="1259"/>
      <c r="G243" s="1259"/>
      <c r="H243" s="1259"/>
      <c r="I243" s="1259"/>
      <c r="J243" s="1259"/>
      <c r="K243" s="1259"/>
      <c r="L243" s="1259"/>
      <c r="M243" s="1259"/>
      <c r="N243" s="1259"/>
      <c r="O243" s="1259"/>
      <c r="P243" s="1259"/>
      <c r="Q243" s="1259"/>
      <c r="R243" s="1259"/>
      <c r="S243" s="1259"/>
      <c r="T243" s="1259"/>
      <c r="U243" s="1259"/>
      <c r="V243" s="1259"/>
      <c r="W243" s="1259"/>
      <c r="X243" s="1259"/>
      <c r="Y243" s="1259"/>
      <c r="Z243" s="1259"/>
    </row>
    <row r="244" spans="1:26" ht="15.75" customHeight="1">
      <c r="A244" s="1259"/>
      <c r="B244" s="1259"/>
      <c r="C244" s="1259"/>
      <c r="D244" s="1259"/>
      <c r="E244" s="1259"/>
      <c r="F244" s="1259"/>
      <c r="G244" s="1259"/>
      <c r="H244" s="1259"/>
      <c r="I244" s="1259"/>
      <c r="J244" s="1259"/>
      <c r="K244" s="1259"/>
      <c r="L244" s="1259"/>
      <c r="M244" s="1259"/>
      <c r="N244" s="1259"/>
      <c r="O244" s="1259"/>
      <c r="P244" s="1259"/>
      <c r="Q244" s="1259"/>
      <c r="R244" s="1259"/>
      <c r="S244" s="1259"/>
      <c r="T244" s="1259"/>
      <c r="U244" s="1259"/>
      <c r="V244" s="1259"/>
      <c r="W244" s="1259"/>
      <c r="X244" s="1259"/>
      <c r="Y244" s="1259"/>
      <c r="Z244" s="1259"/>
    </row>
    <row r="245" spans="1:26" ht="15.75" customHeight="1">
      <c r="A245" s="1259"/>
      <c r="B245" s="1259"/>
      <c r="C245" s="1259"/>
      <c r="D245" s="1259"/>
      <c r="E245" s="1259"/>
      <c r="F245" s="1259"/>
      <c r="G245" s="1259"/>
      <c r="H245" s="1259"/>
      <c r="I245" s="1259"/>
      <c r="J245" s="1259"/>
      <c r="K245" s="1259"/>
      <c r="L245" s="1259"/>
      <c r="M245" s="1259"/>
      <c r="N245" s="1259"/>
      <c r="O245" s="1259"/>
      <c r="P245" s="1259"/>
      <c r="Q245" s="1259"/>
      <c r="R245" s="1259"/>
      <c r="S245" s="1259"/>
      <c r="T245" s="1259"/>
      <c r="U245" s="1259"/>
      <c r="V245" s="1259"/>
      <c r="W245" s="1259"/>
      <c r="X245" s="1259"/>
      <c r="Y245" s="1259"/>
      <c r="Z245" s="1259"/>
    </row>
    <row r="246" spans="1:26" ht="15.75" customHeight="1">
      <c r="A246" s="1259"/>
      <c r="B246" s="1259"/>
      <c r="C246" s="1259"/>
      <c r="D246" s="1259"/>
      <c r="E246" s="1259"/>
      <c r="F246" s="1259"/>
      <c r="G246" s="1259"/>
      <c r="H246" s="1259"/>
      <c r="I246" s="1259"/>
      <c r="J246" s="1259"/>
      <c r="K246" s="1259"/>
      <c r="L246" s="1259"/>
      <c r="M246" s="1259"/>
      <c r="N246" s="1259"/>
      <c r="O246" s="1259"/>
      <c r="P246" s="1259"/>
      <c r="Q246" s="1259"/>
      <c r="R246" s="1259"/>
      <c r="S246" s="1259"/>
      <c r="T246" s="1259"/>
      <c r="U246" s="1259"/>
      <c r="V246" s="1259"/>
      <c r="W246" s="1259"/>
      <c r="X246" s="1259"/>
      <c r="Y246" s="1259"/>
      <c r="Z246" s="1259"/>
    </row>
    <row r="247" spans="1:26" ht="15.75" customHeight="1">
      <c r="A247" s="1259"/>
      <c r="B247" s="1259"/>
      <c r="C247" s="1259"/>
      <c r="D247" s="1259"/>
      <c r="E247" s="1259"/>
      <c r="F247" s="1259"/>
      <c r="G247" s="1259"/>
      <c r="H247" s="1259"/>
      <c r="I247" s="1259"/>
      <c r="J247" s="1259"/>
      <c r="K247" s="1259"/>
      <c r="L247" s="1259"/>
      <c r="M247" s="1259"/>
      <c r="N247" s="1259"/>
      <c r="O247" s="1259"/>
      <c r="P247" s="1259"/>
      <c r="Q247" s="1259"/>
      <c r="R247" s="1259"/>
      <c r="S247" s="1259"/>
      <c r="T247" s="1259"/>
      <c r="U247" s="1259"/>
      <c r="V247" s="1259"/>
      <c r="W247" s="1259"/>
      <c r="X247" s="1259"/>
      <c r="Y247" s="1259"/>
      <c r="Z247" s="1259"/>
    </row>
    <row r="248" spans="1:26" ht="15.75" customHeight="1">
      <c r="A248" s="1259"/>
      <c r="B248" s="1259"/>
      <c r="C248" s="1259"/>
      <c r="D248" s="1259"/>
      <c r="E248" s="1259"/>
      <c r="F248" s="1259"/>
      <c r="G248" s="1259"/>
      <c r="H248" s="1259"/>
      <c r="I248" s="1259"/>
      <c r="J248" s="1259"/>
      <c r="K248" s="1259"/>
      <c r="L248" s="1259"/>
      <c r="M248" s="1259"/>
      <c r="N248" s="1259"/>
      <c r="O248" s="1259"/>
      <c r="P248" s="1259"/>
      <c r="Q248" s="1259"/>
      <c r="R248" s="1259"/>
      <c r="S248" s="1259"/>
      <c r="T248" s="1259"/>
      <c r="U248" s="1259"/>
      <c r="V248" s="1259"/>
      <c r="W248" s="1259"/>
      <c r="X248" s="1259"/>
      <c r="Y248" s="1259"/>
      <c r="Z248" s="1259"/>
    </row>
    <row r="249" spans="1:26" ht="15.75" customHeight="1">
      <c r="A249" s="1259"/>
      <c r="B249" s="1259"/>
      <c r="C249" s="1259"/>
      <c r="D249" s="1259"/>
      <c r="E249" s="1259"/>
      <c r="F249" s="1259"/>
      <c r="G249" s="1259"/>
      <c r="H249" s="1259"/>
      <c r="I249" s="1259"/>
      <c r="J249" s="1259"/>
      <c r="K249" s="1259"/>
      <c r="L249" s="1259"/>
      <c r="M249" s="1259"/>
      <c r="N249" s="1259"/>
      <c r="O249" s="1259"/>
      <c r="P249" s="1259"/>
      <c r="Q249" s="1259"/>
      <c r="R249" s="1259"/>
      <c r="S249" s="1259"/>
      <c r="T249" s="1259"/>
      <c r="U249" s="1259"/>
      <c r="V249" s="1259"/>
      <c r="W249" s="1259"/>
      <c r="X249" s="1259"/>
      <c r="Y249" s="1259"/>
      <c r="Z249" s="1259"/>
    </row>
    <row r="250" spans="1:26" ht="15.75" customHeight="1">
      <c r="A250" s="1259"/>
      <c r="B250" s="1259"/>
      <c r="C250" s="1259"/>
      <c r="D250" s="1259"/>
      <c r="E250" s="1259"/>
      <c r="F250" s="1259"/>
      <c r="G250" s="1259"/>
      <c r="H250" s="1259"/>
      <c r="I250" s="1259"/>
      <c r="J250" s="1259"/>
      <c r="K250" s="1259"/>
      <c r="L250" s="1259"/>
      <c r="M250" s="1259"/>
      <c r="N250" s="1259"/>
      <c r="O250" s="1259"/>
      <c r="P250" s="1259"/>
      <c r="Q250" s="1259"/>
      <c r="R250" s="1259"/>
      <c r="S250" s="1259"/>
      <c r="T250" s="1259"/>
      <c r="U250" s="1259"/>
      <c r="V250" s="1259"/>
      <c r="W250" s="1259"/>
      <c r="X250" s="1259"/>
      <c r="Y250" s="1259"/>
      <c r="Z250" s="1259"/>
    </row>
    <row r="251" spans="1:26" ht="15.75" customHeight="1">
      <c r="A251" s="1259"/>
      <c r="B251" s="1259"/>
      <c r="C251" s="1259"/>
      <c r="D251" s="1259"/>
      <c r="E251" s="1259"/>
      <c r="F251" s="1259"/>
      <c r="G251" s="1259"/>
      <c r="H251" s="1259"/>
      <c r="I251" s="1259"/>
      <c r="J251" s="1259"/>
      <c r="K251" s="1259"/>
      <c r="L251" s="1259"/>
      <c r="M251" s="1259"/>
      <c r="N251" s="1259"/>
      <c r="O251" s="1259"/>
      <c r="P251" s="1259"/>
      <c r="Q251" s="1259"/>
      <c r="R251" s="1259"/>
      <c r="S251" s="1259"/>
      <c r="T251" s="1259"/>
      <c r="U251" s="1259"/>
      <c r="V251" s="1259"/>
      <c r="W251" s="1259"/>
      <c r="X251" s="1259"/>
      <c r="Y251" s="1259"/>
      <c r="Z251" s="1259"/>
    </row>
    <row r="252" spans="1:26" ht="15.75" customHeight="1">
      <c r="A252" s="1259"/>
      <c r="B252" s="1259"/>
      <c r="C252" s="1259"/>
      <c r="D252" s="1259"/>
      <c r="E252" s="1259"/>
      <c r="F252" s="1259"/>
      <c r="G252" s="1259"/>
      <c r="H252" s="1259"/>
      <c r="I252" s="1259"/>
      <c r="J252" s="1259"/>
      <c r="K252" s="1259"/>
      <c r="L252" s="1259"/>
      <c r="M252" s="1259"/>
      <c r="N252" s="1259"/>
      <c r="O252" s="1259"/>
      <c r="P252" s="1259"/>
      <c r="Q252" s="1259"/>
      <c r="R252" s="1259"/>
      <c r="S252" s="1259"/>
      <c r="T252" s="1259"/>
      <c r="U252" s="1259"/>
      <c r="V252" s="1259"/>
      <c r="W252" s="1259"/>
      <c r="X252" s="1259"/>
      <c r="Y252" s="1259"/>
      <c r="Z252" s="1259"/>
    </row>
    <row r="253" spans="1:26" ht="15.75" customHeight="1">
      <c r="A253" s="1259"/>
      <c r="B253" s="1259"/>
      <c r="C253" s="1259"/>
      <c r="D253" s="1259"/>
      <c r="E253" s="1259"/>
      <c r="F253" s="1259"/>
      <c r="G253" s="1259"/>
      <c r="H253" s="1259"/>
      <c r="I253" s="1259"/>
      <c r="J253" s="1259"/>
      <c r="K253" s="1259"/>
      <c r="L253" s="1259"/>
      <c r="M253" s="1259"/>
      <c r="N253" s="1259"/>
      <c r="O253" s="1259"/>
      <c r="P253" s="1259"/>
      <c r="Q253" s="1259"/>
      <c r="R253" s="1259"/>
      <c r="S253" s="1259"/>
      <c r="T253" s="1259"/>
      <c r="U253" s="1259"/>
      <c r="V253" s="1259"/>
      <c r="W253" s="1259"/>
      <c r="X253" s="1259"/>
      <c r="Y253" s="1259"/>
      <c r="Z253" s="1259"/>
    </row>
    <row r="254" spans="1:26" ht="15.75" customHeight="1">
      <c r="A254" s="1259"/>
      <c r="B254" s="1259"/>
      <c r="C254" s="1259"/>
      <c r="D254" s="1259"/>
      <c r="E254" s="1259"/>
      <c r="F254" s="1259"/>
      <c r="G254" s="1259"/>
      <c r="H254" s="1259"/>
      <c r="I254" s="1259"/>
      <c r="J254" s="1259"/>
      <c r="K254" s="1259"/>
      <c r="L254" s="1259"/>
      <c r="M254" s="1259"/>
      <c r="N254" s="1259"/>
      <c r="O254" s="1259"/>
      <c r="P254" s="1259"/>
      <c r="Q254" s="1259"/>
      <c r="R254" s="1259"/>
      <c r="S254" s="1259"/>
      <c r="T254" s="1259"/>
      <c r="U254" s="1259"/>
      <c r="V254" s="1259"/>
      <c r="W254" s="1259"/>
      <c r="X254" s="1259"/>
      <c r="Y254" s="1259"/>
      <c r="Z254" s="1259"/>
    </row>
    <row r="255" spans="1:26" ht="15.75" customHeight="1">
      <c r="A255" s="1259"/>
      <c r="B255" s="1259"/>
      <c r="C255" s="1259"/>
      <c r="D255" s="1259"/>
      <c r="E255" s="1259"/>
      <c r="F255" s="1259"/>
      <c r="G255" s="1259"/>
      <c r="H255" s="1259"/>
      <c r="I255" s="1259"/>
      <c r="J255" s="1259"/>
      <c r="K255" s="1259"/>
      <c r="L255" s="1259"/>
      <c r="M255" s="1259"/>
      <c r="N255" s="1259"/>
      <c r="O255" s="1259"/>
      <c r="P255" s="1259"/>
      <c r="Q255" s="1259"/>
      <c r="R255" s="1259"/>
      <c r="S255" s="1259"/>
      <c r="T255" s="1259"/>
      <c r="U255" s="1259"/>
      <c r="V255" s="1259"/>
      <c r="W255" s="1259"/>
      <c r="X255" s="1259"/>
      <c r="Y255" s="1259"/>
      <c r="Z255" s="1259"/>
    </row>
    <row r="256" spans="1:26" ht="15.75" customHeight="1">
      <c r="A256" s="1259"/>
      <c r="B256" s="1259"/>
      <c r="C256" s="1259"/>
      <c r="D256" s="1259"/>
      <c r="E256" s="1259"/>
      <c r="F256" s="1259"/>
      <c r="G256" s="1259"/>
      <c r="H256" s="1259"/>
      <c r="I256" s="1259"/>
      <c r="J256" s="1259"/>
      <c r="K256" s="1259"/>
      <c r="L256" s="1259"/>
      <c r="M256" s="1259"/>
      <c r="N256" s="1259"/>
      <c r="O256" s="1259"/>
      <c r="P256" s="1259"/>
      <c r="Q256" s="1259"/>
      <c r="R256" s="1259"/>
      <c r="S256" s="1259"/>
      <c r="T256" s="1259"/>
      <c r="U256" s="1259"/>
      <c r="V256" s="1259"/>
      <c r="W256" s="1259"/>
      <c r="X256" s="1259"/>
      <c r="Y256" s="1259"/>
      <c r="Z256" s="1259"/>
    </row>
    <row r="257" spans="1:26" ht="15.75" customHeight="1">
      <c r="A257" s="1259"/>
      <c r="B257" s="1259"/>
      <c r="C257" s="1259"/>
      <c r="D257" s="1259"/>
      <c r="E257" s="1259"/>
      <c r="F257" s="1259"/>
      <c r="G257" s="1259"/>
      <c r="H257" s="1259"/>
      <c r="I257" s="1259"/>
      <c r="J257" s="1259"/>
      <c r="K257" s="1259"/>
      <c r="L257" s="1259"/>
      <c r="M257" s="1259"/>
      <c r="N257" s="1259"/>
      <c r="O257" s="1259"/>
      <c r="P257" s="1259"/>
      <c r="Q257" s="1259"/>
      <c r="R257" s="1259"/>
      <c r="S257" s="1259"/>
      <c r="T257" s="1259"/>
      <c r="U257" s="1259"/>
      <c r="V257" s="1259"/>
      <c r="W257" s="1259"/>
      <c r="X257" s="1259"/>
      <c r="Y257" s="1259"/>
      <c r="Z257" s="1259"/>
    </row>
    <row r="258" spans="1:26" ht="15.75" customHeight="1">
      <c r="A258" s="1259"/>
      <c r="B258" s="1259"/>
      <c r="C258" s="1259"/>
      <c r="D258" s="1259"/>
      <c r="E258" s="1259"/>
      <c r="F258" s="1259"/>
      <c r="G258" s="1259"/>
      <c r="H258" s="1259"/>
      <c r="I258" s="1259"/>
      <c r="J258" s="1259"/>
      <c r="K258" s="1259"/>
      <c r="L258" s="1259"/>
      <c r="M258" s="1259"/>
      <c r="N258" s="1259"/>
      <c r="O258" s="1259"/>
      <c r="P258" s="1259"/>
      <c r="Q258" s="1259"/>
      <c r="R258" s="1259"/>
      <c r="S258" s="1259"/>
      <c r="T258" s="1259"/>
      <c r="U258" s="1259"/>
      <c r="V258" s="1259"/>
      <c r="W258" s="1259"/>
      <c r="X258" s="1259"/>
      <c r="Y258" s="1259"/>
      <c r="Z258" s="1259"/>
    </row>
    <row r="259" spans="1:26" ht="15.75" customHeight="1">
      <c r="A259" s="1259"/>
      <c r="B259" s="1259"/>
      <c r="C259" s="1259"/>
      <c r="D259" s="1259"/>
      <c r="E259" s="1259"/>
      <c r="F259" s="1259"/>
      <c r="G259" s="1259"/>
      <c r="H259" s="1259"/>
      <c r="I259" s="1259"/>
      <c r="J259" s="1259"/>
      <c r="K259" s="1259"/>
      <c r="L259" s="1259"/>
      <c r="M259" s="1259"/>
      <c r="N259" s="1259"/>
      <c r="O259" s="1259"/>
      <c r="P259" s="1259"/>
      <c r="Q259" s="1259"/>
      <c r="R259" s="1259"/>
      <c r="S259" s="1259"/>
      <c r="T259" s="1259"/>
      <c r="U259" s="1259"/>
      <c r="V259" s="1259"/>
      <c r="W259" s="1259"/>
      <c r="X259" s="1259"/>
      <c r="Y259" s="1259"/>
      <c r="Z259" s="1259"/>
    </row>
    <row r="260" spans="1:26" ht="15.75" customHeight="1">
      <c r="A260" s="1259"/>
      <c r="B260" s="1259"/>
      <c r="C260" s="1259"/>
      <c r="D260" s="1259"/>
      <c r="E260" s="1259"/>
      <c r="F260" s="1259"/>
      <c r="G260" s="1259"/>
      <c r="H260" s="1259"/>
      <c r="I260" s="1259"/>
      <c r="J260" s="1259"/>
      <c r="K260" s="1259"/>
      <c r="L260" s="1259"/>
      <c r="M260" s="1259"/>
      <c r="N260" s="1259"/>
      <c r="O260" s="1259"/>
      <c r="P260" s="1259"/>
      <c r="Q260" s="1259"/>
      <c r="R260" s="1259"/>
      <c r="S260" s="1259"/>
      <c r="T260" s="1259"/>
      <c r="U260" s="1259"/>
      <c r="V260" s="1259"/>
      <c r="W260" s="1259"/>
      <c r="X260" s="1259"/>
      <c r="Y260" s="1259"/>
      <c r="Z260" s="1259"/>
    </row>
    <row r="261" spans="1:26" ht="15.75" customHeight="1">
      <c r="A261" s="1259"/>
      <c r="B261" s="1259"/>
      <c r="C261" s="1259"/>
      <c r="D261" s="1259"/>
      <c r="E261" s="1259"/>
      <c r="F261" s="1259"/>
      <c r="G261" s="1259"/>
      <c r="H261" s="1259"/>
      <c r="I261" s="1259"/>
      <c r="J261" s="1259"/>
      <c r="K261" s="1259"/>
      <c r="L261" s="1259"/>
      <c r="M261" s="1259"/>
      <c r="N261" s="1259"/>
      <c r="O261" s="1259"/>
      <c r="P261" s="1259"/>
      <c r="Q261" s="1259"/>
      <c r="R261" s="1259"/>
      <c r="S261" s="1259"/>
      <c r="T261" s="1259"/>
      <c r="U261" s="1259"/>
      <c r="V261" s="1259"/>
      <c r="W261" s="1259"/>
      <c r="X261" s="1259"/>
      <c r="Y261" s="1259"/>
      <c r="Z261" s="1259"/>
    </row>
    <row r="262" spans="1:26" ht="15.75" customHeight="1">
      <c r="A262" s="1259"/>
      <c r="B262" s="1259"/>
      <c r="C262" s="1259"/>
      <c r="D262" s="1259"/>
      <c r="E262" s="1259"/>
      <c r="F262" s="1259"/>
      <c r="G262" s="1259"/>
      <c r="H262" s="1259"/>
      <c r="I262" s="1259"/>
      <c r="J262" s="1259"/>
      <c r="K262" s="1259"/>
      <c r="L262" s="1259"/>
      <c r="M262" s="1259"/>
      <c r="N262" s="1259"/>
      <c r="O262" s="1259"/>
      <c r="P262" s="1259"/>
      <c r="Q262" s="1259"/>
      <c r="R262" s="1259"/>
      <c r="S262" s="1259"/>
      <c r="T262" s="1259"/>
      <c r="U262" s="1259"/>
      <c r="V262" s="1259"/>
      <c r="W262" s="1259"/>
      <c r="X262" s="1259"/>
      <c r="Y262" s="1259"/>
      <c r="Z262" s="1259"/>
    </row>
    <row r="263" spans="1:26" ht="15.75" customHeight="1">
      <c r="A263" s="1259"/>
      <c r="B263" s="1259"/>
      <c r="C263" s="1259"/>
      <c r="D263" s="1259"/>
      <c r="E263" s="1259"/>
      <c r="F263" s="1259"/>
      <c r="G263" s="1259"/>
      <c r="H263" s="1259"/>
      <c r="I263" s="1259"/>
      <c r="J263" s="1259"/>
      <c r="K263" s="1259"/>
      <c r="L263" s="1259"/>
      <c r="M263" s="1259"/>
      <c r="N263" s="1259"/>
      <c r="O263" s="1259"/>
      <c r="P263" s="1259"/>
      <c r="Q263" s="1259"/>
      <c r="R263" s="1259"/>
      <c r="S263" s="1259"/>
      <c r="T263" s="1259"/>
      <c r="U263" s="1259"/>
      <c r="V263" s="1259"/>
      <c r="W263" s="1259"/>
      <c r="X263" s="1259"/>
      <c r="Y263" s="1259"/>
      <c r="Z263" s="1259"/>
    </row>
    <row r="264" spans="1:26" ht="15.75" customHeight="1">
      <c r="A264" s="1259"/>
      <c r="B264" s="1259"/>
      <c r="C264" s="1259"/>
      <c r="D264" s="1259"/>
      <c r="E264" s="1259"/>
      <c r="F264" s="1259"/>
      <c r="G264" s="1259"/>
      <c r="H264" s="1259"/>
      <c r="I264" s="1259"/>
      <c r="J264" s="1259"/>
      <c r="K264" s="1259"/>
      <c r="L264" s="1259"/>
      <c r="M264" s="1259"/>
      <c r="N264" s="1259"/>
      <c r="O264" s="1259"/>
      <c r="P264" s="1259"/>
      <c r="Q264" s="1259"/>
      <c r="R264" s="1259"/>
      <c r="S264" s="1259"/>
      <c r="T264" s="1259"/>
      <c r="U264" s="1259"/>
      <c r="V264" s="1259"/>
      <c r="W264" s="1259"/>
      <c r="X264" s="1259"/>
      <c r="Y264" s="1259"/>
      <c r="Z264" s="1259"/>
    </row>
    <row r="265" spans="1:26" ht="15.75" customHeight="1">
      <c r="A265" s="1259"/>
      <c r="B265" s="1259"/>
      <c r="C265" s="1259"/>
      <c r="D265" s="1259"/>
      <c r="E265" s="1259"/>
      <c r="F265" s="1259"/>
      <c r="G265" s="1259"/>
      <c r="H265" s="1259"/>
      <c r="I265" s="1259"/>
      <c r="J265" s="1259"/>
      <c r="K265" s="1259"/>
      <c r="L265" s="1259"/>
      <c r="M265" s="1259"/>
      <c r="N265" s="1259"/>
      <c r="O265" s="1259"/>
      <c r="P265" s="1259"/>
      <c r="Q265" s="1259"/>
      <c r="R265" s="1259"/>
      <c r="S265" s="1259"/>
      <c r="T265" s="1259"/>
      <c r="U265" s="1259"/>
      <c r="V265" s="1259"/>
      <c r="W265" s="1259"/>
      <c r="X265" s="1259"/>
      <c r="Y265" s="1259"/>
      <c r="Z265" s="1259"/>
    </row>
    <row r="266" spans="1:26" ht="15.75" customHeight="1">
      <c r="A266" s="1259"/>
      <c r="B266" s="1259"/>
      <c r="C266" s="1259"/>
      <c r="D266" s="1259"/>
      <c r="E266" s="1259"/>
      <c r="F266" s="1259"/>
      <c r="G266" s="1259"/>
      <c r="H266" s="1259"/>
      <c r="I266" s="1259"/>
      <c r="J266" s="1259"/>
      <c r="K266" s="1259"/>
      <c r="L266" s="1259"/>
      <c r="M266" s="1259"/>
      <c r="N266" s="1259"/>
      <c r="O266" s="1259"/>
      <c r="P266" s="1259"/>
      <c r="Q266" s="1259"/>
      <c r="R266" s="1259"/>
      <c r="S266" s="1259"/>
      <c r="T266" s="1259"/>
      <c r="U266" s="1259"/>
      <c r="V266" s="1259"/>
      <c r="W266" s="1259"/>
      <c r="X266" s="1259"/>
      <c r="Y266" s="1259"/>
      <c r="Z266" s="1259"/>
    </row>
    <row r="267" spans="1:26" ht="15.75" customHeight="1">
      <c r="A267" s="1259"/>
      <c r="B267" s="1259"/>
      <c r="C267" s="1259"/>
      <c r="D267" s="1259"/>
      <c r="E267" s="1259"/>
      <c r="F267" s="1259"/>
      <c r="G267" s="1259"/>
      <c r="H267" s="1259"/>
      <c r="I267" s="1259"/>
      <c r="J267" s="1259"/>
      <c r="K267" s="1259"/>
      <c r="L267" s="1259"/>
      <c r="M267" s="1259"/>
      <c r="N267" s="1259"/>
      <c r="O267" s="1259"/>
      <c r="P267" s="1259"/>
      <c r="Q267" s="1259"/>
      <c r="R267" s="1259"/>
      <c r="S267" s="1259"/>
      <c r="T267" s="1259"/>
      <c r="U267" s="1259"/>
      <c r="V267" s="1259"/>
      <c r="W267" s="1259"/>
      <c r="X267" s="1259"/>
      <c r="Y267" s="1259"/>
      <c r="Z267" s="1259"/>
    </row>
    <row r="268" spans="1:26" ht="15.75" customHeight="1">
      <c r="A268" s="1259"/>
      <c r="B268" s="1259"/>
      <c r="C268" s="1259"/>
      <c r="D268" s="1259"/>
      <c r="E268" s="1259"/>
      <c r="F268" s="1259"/>
      <c r="G268" s="1259"/>
      <c r="H268" s="1259"/>
      <c r="I268" s="1259"/>
      <c r="J268" s="1259"/>
      <c r="K268" s="1259"/>
      <c r="L268" s="1259"/>
      <c r="M268" s="1259"/>
      <c r="N268" s="1259"/>
      <c r="O268" s="1259"/>
      <c r="P268" s="1259"/>
      <c r="Q268" s="1259"/>
      <c r="R268" s="1259"/>
      <c r="S268" s="1259"/>
      <c r="T268" s="1259"/>
      <c r="U268" s="1259"/>
      <c r="V268" s="1259"/>
      <c r="W268" s="1259"/>
      <c r="X268" s="1259"/>
      <c r="Y268" s="1259"/>
      <c r="Z268" s="1259"/>
    </row>
    <row r="269" spans="1:26" ht="15.75" customHeight="1">
      <c r="A269" s="1259"/>
      <c r="B269" s="1259"/>
      <c r="C269" s="1259"/>
      <c r="D269" s="1259"/>
      <c r="E269" s="1259"/>
      <c r="F269" s="1259"/>
      <c r="G269" s="1259"/>
      <c r="H269" s="1259"/>
      <c r="I269" s="1259"/>
      <c r="J269" s="1259"/>
      <c r="K269" s="1259"/>
      <c r="L269" s="1259"/>
      <c r="M269" s="1259"/>
      <c r="N269" s="1259"/>
      <c r="O269" s="1259"/>
      <c r="P269" s="1259"/>
      <c r="Q269" s="1259"/>
      <c r="R269" s="1259"/>
      <c r="S269" s="1259"/>
      <c r="T269" s="1259"/>
      <c r="U269" s="1259"/>
      <c r="V269" s="1259"/>
      <c r="W269" s="1259"/>
      <c r="X269" s="1259"/>
      <c r="Y269" s="1259"/>
      <c r="Z269" s="1259"/>
    </row>
    <row r="270" spans="1:26" ht="15.75" customHeight="1">
      <c r="A270" s="1259"/>
      <c r="B270" s="1259"/>
      <c r="C270" s="1259"/>
      <c r="D270" s="1259"/>
      <c r="E270" s="1259"/>
      <c r="F270" s="1259"/>
      <c r="G270" s="1259"/>
      <c r="H270" s="1259"/>
      <c r="I270" s="1259"/>
      <c r="J270" s="1259"/>
      <c r="K270" s="1259"/>
      <c r="L270" s="1259"/>
      <c r="M270" s="1259"/>
      <c r="N270" s="1259"/>
      <c r="O270" s="1259"/>
      <c r="P270" s="1259"/>
      <c r="Q270" s="1259"/>
      <c r="R270" s="1259"/>
      <c r="S270" s="1259"/>
      <c r="T270" s="1259"/>
      <c r="U270" s="1259"/>
      <c r="V270" s="1259"/>
      <c r="W270" s="1259"/>
      <c r="X270" s="1259"/>
      <c r="Y270" s="1259"/>
      <c r="Z270" s="1259"/>
    </row>
    <row r="271" spans="1:26" ht="15.75" customHeight="1">
      <c r="A271" s="1259"/>
      <c r="B271" s="1259"/>
      <c r="C271" s="1259"/>
      <c r="D271" s="1259"/>
      <c r="E271" s="1259"/>
      <c r="F271" s="1259"/>
      <c r="G271" s="1259"/>
      <c r="H271" s="1259"/>
      <c r="I271" s="1259"/>
      <c r="J271" s="1259"/>
      <c r="K271" s="1259"/>
      <c r="L271" s="1259"/>
      <c r="M271" s="1259"/>
      <c r="N271" s="1259"/>
      <c r="O271" s="1259"/>
      <c r="P271" s="1259"/>
      <c r="Q271" s="1259"/>
      <c r="R271" s="1259"/>
      <c r="S271" s="1259"/>
      <c r="T271" s="1259"/>
      <c r="U271" s="1259"/>
      <c r="V271" s="1259"/>
      <c r="W271" s="1259"/>
      <c r="X271" s="1259"/>
      <c r="Y271" s="1259"/>
      <c r="Z271" s="1259"/>
    </row>
    <row r="272" spans="1:26" ht="15.75" customHeight="1">
      <c r="A272" s="1259"/>
      <c r="B272" s="1259"/>
      <c r="C272" s="1259"/>
      <c r="D272" s="1259"/>
      <c r="E272" s="1259"/>
      <c r="F272" s="1259"/>
      <c r="G272" s="1259"/>
      <c r="H272" s="1259"/>
      <c r="I272" s="1259"/>
      <c r="J272" s="1259"/>
      <c r="K272" s="1259"/>
      <c r="L272" s="1259"/>
      <c r="M272" s="1259"/>
      <c r="N272" s="1259"/>
      <c r="O272" s="1259"/>
      <c r="P272" s="1259"/>
      <c r="Q272" s="1259"/>
      <c r="R272" s="1259"/>
      <c r="S272" s="1259"/>
      <c r="T272" s="1259"/>
      <c r="U272" s="1259"/>
      <c r="V272" s="1259"/>
      <c r="W272" s="1259"/>
      <c r="X272" s="1259"/>
      <c r="Y272" s="1259"/>
      <c r="Z272" s="1259"/>
    </row>
    <row r="273" spans="1:26" ht="15.75" customHeight="1">
      <c r="A273" s="1259"/>
      <c r="B273" s="1259"/>
      <c r="C273" s="1259"/>
      <c r="D273" s="1259"/>
      <c r="E273" s="1259"/>
      <c r="F273" s="1259"/>
      <c r="G273" s="1259"/>
      <c r="H273" s="1259"/>
      <c r="I273" s="1259"/>
      <c r="J273" s="1259"/>
      <c r="K273" s="1259"/>
      <c r="L273" s="1259"/>
      <c r="M273" s="1259"/>
      <c r="N273" s="1259"/>
      <c r="O273" s="1259"/>
      <c r="P273" s="1259"/>
      <c r="Q273" s="1259"/>
      <c r="R273" s="1259"/>
      <c r="S273" s="1259"/>
      <c r="T273" s="1259"/>
      <c r="U273" s="1259"/>
      <c r="V273" s="1259"/>
      <c r="W273" s="1259"/>
      <c r="X273" s="1259"/>
      <c r="Y273" s="1259"/>
      <c r="Z273" s="1259"/>
    </row>
    <row r="274" spans="1:26" ht="15.75" customHeight="1">
      <c r="A274" s="1259"/>
      <c r="B274" s="1259"/>
      <c r="C274" s="1259"/>
      <c r="D274" s="1259"/>
      <c r="E274" s="1259"/>
      <c r="F274" s="1259"/>
      <c r="G274" s="1259"/>
      <c r="H274" s="1259"/>
      <c r="I274" s="1259"/>
      <c r="J274" s="1259"/>
      <c r="K274" s="1259"/>
      <c r="L274" s="1259"/>
      <c r="M274" s="1259"/>
      <c r="N274" s="1259"/>
      <c r="O274" s="1259"/>
      <c r="P274" s="1259"/>
      <c r="Q274" s="1259"/>
      <c r="R274" s="1259"/>
      <c r="S274" s="1259"/>
      <c r="T274" s="1259"/>
      <c r="U274" s="1259"/>
      <c r="V274" s="1259"/>
      <c r="W274" s="1259"/>
      <c r="X274" s="1259"/>
      <c r="Y274" s="1259"/>
      <c r="Z274" s="1259"/>
    </row>
    <row r="275" spans="1:26" ht="15.75" customHeight="1">
      <c r="A275" s="1259"/>
      <c r="B275" s="1259"/>
      <c r="C275" s="1259"/>
      <c r="D275" s="1259"/>
      <c r="E275" s="1259"/>
      <c r="F275" s="1259"/>
      <c r="G275" s="1259"/>
      <c r="H275" s="1259"/>
      <c r="I275" s="1259"/>
      <c r="J275" s="1259"/>
      <c r="K275" s="1259"/>
      <c r="L275" s="1259"/>
      <c r="M275" s="1259"/>
      <c r="N275" s="1259"/>
      <c r="O275" s="1259"/>
      <c r="P275" s="1259"/>
      <c r="Q275" s="1259"/>
      <c r="R275" s="1259"/>
      <c r="S275" s="1259"/>
      <c r="T275" s="1259"/>
      <c r="U275" s="1259"/>
      <c r="V275" s="1259"/>
      <c r="W275" s="1259"/>
      <c r="X275" s="1259"/>
      <c r="Y275" s="1259"/>
      <c r="Z275" s="1259"/>
    </row>
    <row r="276" spans="1:26" ht="15.75" customHeight="1">
      <c r="A276" s="1259"/>
      <c r="B276" s="1259"/>
      <c r="C276" s="1259"/>
      <c r="D276" s="1259"/>
      <c r="E276" s="1259"/>
      <c r="F276" s="1259"/>
      <c r="G276" s="1259"/>
      <c r="H276" s="1259"/>
      <c r="I276" s="1259"/>
      <c r="J276" s="1259"/>
      <c r="K276" s="1259"/>
      <c r="L276" s="1259"/>
      <c r="M276" s="1259"/>
      <c r="N276" s="1259"/>
      <c r="O276" s="1259"/>
      <c r="P276" s="1259"/>
      <c r="Q276" s="1259"/>
      <c r="R276" s="1259"/>
      <c r="S276" s="1259"/>
      <c r="T276" s="1259"/>
      <c r="U276" s="1259"/>
      <c r="V276" s="1259"/>
      <c r="W276" s="1259"/>
      <c r="X276" s="1259"/>
      <c r="Y276" s="1259"/>
      <c r="Z276" s="1259"/>
    </row>
    <row r="277" spans="1:26" ht="15.75" customHeight="1">
      <c r="A277" s="1259"/>
      <c r="B277" s="1259"/>
      <c r="C277" s="1259"/>
      <c r="D277" s="1259"/>
      <c r="E277" s="1259"/>
      <c r="F277" s="1259"/>
      <c r="G277" s="1259"/>
      <c r="H277" s="1259"/>
      <c r="I277" s="1259"/>
      <c r="J277" s="1259"/>
      <c r="K277" s="1259"/>
      <c r="L277" s="1259"/>
      <c r="M277" s="1259"/>
      <c r="N277" s="1259"/>
      <c r="O277" s="1259"/>
      <c r="P277" s="1259"/>
      <c r="Q277" s="1259"/>
      <c r="R277" s="1259"/>
      <c r="S277" s="1259"/>
      <c r="T277" s="1259"/>
      <c r="U277" s="1259"/>
      <c r="V277" s="1259"/>
      <c r="W277" s="1259"/>
      <c r="X277" s="1259"/>
      <c r="Y277" s="1259"/>
      <c r="Z277" s="1259"/>
    </row>
    <row r="278" spans="1:26" ht="15.75" customHeigh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row>
    <row r="279" spans="1:26" ht="15.75" customHeight="1">
      <c r="A279" s="1259"/>
      <c r="B279" s="1259"/>
      <c r="C279" s="1259"/>
      <c r="D279" s="1259"/>
      <c r="E279" s="1259"/>
      <c r="F279" s="1259"/>
      <c r="G279" s="1259"/>
      <c r="H279" s="1259"/>
      <c r="I279" s="1259"/>
      <c r="J279" s="1259"/>
      <c r="K279" s="1259"/>
      <c r="L279" s="1259"/>
      <c r="M279" s="1259"/>
      <c r="N279" s="1259"/>
      <c r="O279" s="1259"/>
      <c r="P279" s="1259"/>
      <c r="Q279" s="1259"/>
      <c r="R279" s="1259"/>
      <c r="S279" s="1259"/>
      <c r="T279" s="1259"/>
      <c r="U279" s="1259"/>
      <c r="V279" s="1259"/>
      <c r="W279" s="1259"/>
      <c r="X279" s="1259"/>
      <c r="Y279" s="1259"/>
      <c r="Z279" s="1259"/>
    </row>
    <row r="280" spans="1:26" ht="15.75" customHeight="1">
      <c r="A280" s="1259"/>
      <c r="B280" s="1259"/>
      <c r="C280" s="1259"/>
      <c r="D280" s="1259"/>
      <c r="E280" s="1259"/>
      <c r="F280" s="1259"/>
      <c r="G280" s="1259"/>
      <c r="H280" s="1259"/>
      <c r="I280" s="1259"/>
      <c r="J280" s="1259"/>
      <c r="K280" s="1259"/>
      <c r="L280" s="1259"/>
      <c r="M280" s="1259"/>
      <c r="N280" s="1259"/>
      <c r="O280" s="1259"/>
      <c r="P280" s="1259"/>
      <c r="Q280" s="1259"/>
      <c r="R280" s="1259"/>
      <c r="S280" s="1259"/>
      <c r="T280" s="1259"/>
      <c r="U280" s="1259"/>
      <c r="V280" s="1259"/>
      <c r="W280" s="1259"/>
      <c r="X280" s="1259"/>
      <c r="Y280" s="1259"/>
      <c r="Z280" s="1259"/>
    </row>
    <row r="281" spans="1:26" ht="15.75" customHeight="1">
      <c r="A281" s="1259"/>
      <c r="B281" s="1259"/>
      <c r="C281" s="1259"/>
      <c r="D281" s="1259"/>
      <c r="E281" s="1259"/>
      <c r="F281" s="1259"/>
      <c r="G281" s="1259"/>
      <c r="H281" s="1259"/>
      <c r="I281" s="1259"/>
      <c r="J281" s="1259"/>
      <c r="K281" s="1259"/>
      <c r="L281" s="1259"/>
      <c r="M281" s="1259"/>
      <c r="N281" s="1259"/>
      <c r="O281" s="1259"/>
      <c r="P281" s="1259"/>
      <c r="Q281" s="1259"/>
      <c r="R281" s="1259"/>
      <c r="S281" s="1259"/>
      <c r="T281" s="1259"/>
      <c r="U281" s="1259"/>
      <c r="V281" s="1259"/>
      <c r="W281" s="1259"/>
      <c r="X281" s="1259"/>
      <c r="Y281" s="1259"/>
      <c r="Z281" s="1259"/>
    </row>
    <row r="282" spans="1:26" ht="15.75" customHeight="1">
      <c r="A282" s="1259"/>
      <c r="B282" s="1259"/>
      <c r="C282" s="1259"/>
      <c r="D282" s="1259"/>
      <c r="E282" s="1259"/>
      <c r="F282" s="1259"/>
      <c r="G282" s="1259"/>
      <c r="H282" s="1259"/>
      <c r="I282" s="1259"/>
      <c r="J282" s="1259"/>
      <c r="K282" s="1259"/>
      <c r="L282" s="1259"/>
      <c r="M282" s="1259"/>
      <c r="N282" s="1259"/>
      <c r="O282" s="1259"/>
      <c r="P282" s="1259"/>
      <c r="Q282" s="1259"/>
      <c r="R282" s="1259"/>
      <c r="S282" s="1259"/>
      <c r="T282" s="1259"/>
      <c r="U282" s="1259"/>
      <c r="V282" s="1259"/>
      <c r="W282" s="1259"/>
      <c r="X282" s="1259"/>
      <c r="Y282" s="1259"/>
      <c r="Z282" s="1259"/>
    </row>
    <row r="283" spans="1:26" ht="15.75" customHeight="1">
      <c r="A283" s="1259"/>
      <c r="B283" s="1259"/>
      <c r="C283" s="1259"/>
      <c r="D283" s="1259"/>
      <c r="E283" s="1259"/>
      <c r="F283" s="1259"/>
      <c r="G283" s="1259"/>
      <c r="H283" s="1259"/>
      <c r="I283" s="1259"/>
      <c r="J283" s="1259"/>
      <c r="K283" s="1259"/>
      <c r="L283" s="1259"/>
      <c r="M283" s="1259"/>
      <c r="N283" s="1259"/>
      <c r="O283" s="1259"/>
      <c r="P283" s="1259"/>
      <c r="Q283" s="1259"/>
      <c r="R283" s="1259"/>
      <c r="S283" s="1259"/>
      <c r="T283" s="1259"/>
      <c r="U283" s="1259"/>
      <c r="V283" s="1259"/>
      <c r="W283" s="1259"/>
      <c r="X283" s="1259"/>
      <c r="Y283" s="1259"/>
      <c r="Z283" s="1259"/>
    </row>
    <row r="284" spans="1:26" ht="15.75" customHeight="1">
      <c r="A284" s="1259"/>
      <c r="B284" s="1259"/>
      <c r="C284" s="1259"/>
      <c r="D284" s="1259"/>
      <c r="E284" s="1259"/>
      <c r="F284" s="1259"/>
      <c r="G284" s="1259"/>
      <c r="H284" s="1259"/>
      <c r="I284" s="1259"/>
      <c r="J284" s="1259"/>
      <c r="K284" s="1259"/>
      <c r="L284" s="1259"/>
      <c r="M284" s="1259"/>
      <c r="N284" s="1259"/>
      <c r="O284" s="1259"/>
      <c r="P284" s="1259"/>
      <c r="Q284" s="1259"/>
      <c r="R284" s="1259"/>
      <c r="S284" s="1259"/>
      <c r="T284" s="1259"/>
      <c r="U284" s="1259"/>
      <c r="V284" s="1259"/>
      <c r="W284" s="1259"/>
      <c r="X284" s="1259"/>
      <c r="Y284" s="1259"/>
      <c r="Z284" s="1259"/>
    </row>
    <row r="285" spans="1:26" ht="15.75" customHeight="1">
      <c r="A285" s="1259"/>
      <c r="B285" s="1259"/>
      <c r="C285" s="1259"/>
      <c r="D285" s="1259"/>
      <c r="E285" s="1259"/>
      <c r="F285" s="1259"/>
      <c r="G285" s="1259"/>
      <c r="H285" s="1259"/>
      <c r="I285" s="1259"/>
      <c r="J285" s="1259"/>
      <c r="K285" s="1259"/>
      <c r="L285" s="1259"/>
      <c r="M285" s="1259"/>
      <c r="N285" s="1259"/>
      <c r="O285" s="1259"/>
      <c r="P285" s="1259"/>
      <c r="Q285" s="1259"/>
      <c r="R285" s="1259"/>
      <c r="S285" s="1259"/>
      <c r="T285" s="1259"/>
      <c r="U285" s="1259"/>
      <c r="V285" s="1259"/>
      <c r="W285" s="1259"/>
      <c r="X285" s="1259"/>
      <c r="Y285" s="1259"/>
      <c r="Z285" s="1259"/>
    </row>
    <row r="286" spans="1:26" ht="15.75" customHeight="1">
      <c r="A286" s="1259"/>
      <c r="B286" s="1259"/>
      <c r="C286" s="1259"/>
      <c r="D286" s="1259"/>
      <c r="E286" s="1259"/>
      <c r="F286" s="1259"/>
      <c r="G286" s="1259"/>
      <c r="H286" s="1259"/>
      <c r="I286" s="1259"/>
      <c r="J286" s="1259"/>
      <c r="K286" s="1259"/>
      <c r="L286" s="1259"/>
      <c r="M286" s="1259"/>
      <c r="N286" s="1259"/>
      <c r="O286" s="1259"/>
      <c r="P286" s="1259"/>
      <c r="Q286" s="1259"/>
      <c r="R286" s="1259"/>
      <c r="S286" s="1259"/>
      <c r="T286" s="1259"/>
      <c r="U286" s="1259"/>
      <c r="V286" s="1259"/>
      <c r="W286" s="1259"/>
      <c r="X286" s="1259"/>
      <c r="Y286" s="1259"/>
      <c r="Z286" s="1259"/>
    </row>
    <row r="287" spans="1:26" ht="15.75" customHeight="1">
      <c r="A287" s="1259"/>
      <c r="B287" s="1259"/>
      <c r="C287" s="1259"/>
      <c r="D287" s="1259"/>
      <c r="E287" s="1259"/>
      <c r="F287" s="1259"/>
      <c r="G287" s="1259"/>
      <c r="H287" s="1259"/>
      <c r="I287" s="1259"/>
      <c r="J287" s="1259"/>
      <c r="K287" s="1259"/>
      <c r="L287" s="1259"/>
      <c r="M287" s="1259"/>
      <c r="N287" s="1259"/>
      <c r="O287" s="1259"/>
      <c r="P287" s="1259"/>
      <c r="Q287" s="1259"/>
      <c r="R287" s="1259"/>
      <c r="S287" s="1259"/>
      <c r="T287" s="1259"/>
      <c r="U287" s="1259"/>
      <c r="V287" s="1259"/>
      <c r="W287" s="1259"/>
      <c r="X287" s="1259"/>
      <c r="Y287" s="1259"/>
      <c r="Z287" s="1259"/>
    </row>
    <row r="288" spans="1:26" ht="15.75" customHeight="1">
      <c r="A288" s="1259"/>
      <c r="B288" s="1259"/>
      <c r="C288" s="1259"/>
      <c r="D288" s="1259"/>
      <c r="E288" s="1259"/>
      <c r="F288" s="1259"/>
      <c r="G288" s="1259"/>
      <c r="H288" s="1259"/>
      <c r="I288" s="1259"/>
      <c r="J288" s="1259"/>
      <c r="K288" s="1259"/>
      <c r="L288" s="1259"/>
      <c r="M288" s="1259"/>
      <c r="N288" s="1259"/>
      <c r="O288" s="1259"/>
      <c r="P288" s="1259"/>
      <c r="Q288" s="1259"/>
      <c r="R288" s="1259"/>
      <c r="S288" s="1259"/>
      <c r="T288" s="1259"/>
      <c r="U288" s="1259"/>
      <c r="V288" s="1259"/>
      <c r="W288" s="1259"/>
      <c r="X288" s="1259"/>
      <c r="Y288" s="1259"/>
      <c r="Z288" s="1259"/>
    </row>
    <row r="289" spans="1:26" ht="15.75" customHeight="1">
      <c r="A289" s="1259"/>
      <c r="B289" s="1259"/>
      <c r="C289" s="1259"/>
      <c r="D289" s="1259"/>
      <c r="E289" s="1259"/>
      <c r="F289" s="1259"/>
      <c r="G289" s="1259"/>
      <c r="H289" s="1259"/>
      <c r="I289" s="1259"/>
      <c r="J289" s="1259"/>
      <c r="K289" s="1259"/>
      <c r="L289" s="1259"/>
      <c r="M289" s="1259"/>
      <c r="N289" s="1259"/>
      <c r="O289" s="1259"/>
      <c r="P289" s="1259"/>
      <c r="Q289" s="1259"/>
      <c r="R289" s="1259"/>
      <c r="S289" s="1259"/>
      <c r="T289" s="1259"/>
      <c r="U289" s="1259"/>
      <c r="V289" s="1259"/>
      <c r="W289" s="1259"/>
      <c r="X289" s="1259"/>
      <c r="Y289" s="1259"/>
      <c r="Z289" s="1259"/>
    </row>
    <row r="290" spans="1:26" ht="15.75" customHeight="1">
      <c r="A290" s="1259"/>
      <c r="B290" s="1259"/>
      <c r="C290" s="1259"/>
      <c r="D290" s="1259"/>
      <c r="E290" s="1259"/>
      <c r="F290" s="1259"/>
      <c r="G290" s="1259"/>
      <c r="H290" s="1259"/>
      <c r="I290" s="1259"/>
      <c r="J290" s="1259"/>
      <c r="K290" s="1259"/>
      <c r="L290" s="1259"/>
      <c r="M290" s="1259"/>
      <c r="N290" s="1259"/>
      <c r="O290" s="1259"/>
      <c r="P290" s="1259"/>
      <c r="Q290" s="1259"/>
      <c r="R290" s="1259"/>
      <c r="S290" s="1259"/>
      <c r="T290" s="1259"/>
      <c r="U290" s="1259"/>
      <c r="V290" s="1259"/>
      <c r="W290" s="1259"/>
      <c r="X290" s="1259"/>
      <c r="Y290" s="1259"/>
      <c r="Z290" s="1259"/>
    </row>
    <row r="291" spans="1:26" ht="15.75" customHeight="1">
      <c r="A291" s="1259"/>
      <c r="B291" s="1259"/>
      <c r="C291" s="1259"/>
      <c r="D291" s="1259"/>
      <c r="E291" s="1259"/>
      <c r="F291" s="1259"/>
      <c r="G291" s="1259"/>
      <c r="H291" s="1259"/>
      <c r="I291" s="1259"/>
      <c r="J291" s="1259"/>
      <c r="K291" s="1259"/>
      <c r="L291" s="1259"/>
      <c r="M291" s="1259"/>
      <c r="N291" s="1259"/>
      <c r="O291" s="1259"/>
      <c r="P291" s="1259"/>
      <c r="Q291" s="1259"/>
      <c r="R291" s="1259"/>
      <c r="S291" s="1259"/>
      <c r="T291" s="1259"/>
      <c r="U291" s="1259"/>
      <c r="V291" s="1259"/>
      <c r="W291" s="1259"/>
      <c r="X291" s="1259"/>
      <c r="Y291" s="1259"/>
      <c r="Z291" s="1259"/>
    </row>
    <row r="292" spans="1:26" ht="15.75" customHeight="1">
      <c r="A292" s="1259"/>
      <c r="B292" s="1259"/>
      <c r="C292" s="1259"/>
      <c r="D292" s="1259"/>
      <c r="E292" s="1259"/>
      <c r="F292" s="1259"/>
      <c r="G292" s="1259"/>
      <c r="H292" s="1259"/>
      <c r="I292" s="1259"/>
      <c r="J292" s="1259"/>
      <c r="K292" s="1259"/>
      <c r="L292" s="1259"/>
      <c r="M292" s="1259"/>
      <c r="N292" s="1259"/>
      <c r="O292" s="1259"/>
      <c r="P292" s="1259"/>
      <c r="Q292" s="1259"/>
      <c r="R292" s="1259"/>
      <c r="S292" s="1259"/>
      <c r="T292" s="1259"/>
      <c r="U292" s="1259"/>
      <c r="V292" s="1259"/>
      <c r="W292" s="1259"/>
      <c r="X292" s="1259"/>
      <c r="Y292" s="1259"/>
      <c r="Z292" s="1259"/>
    </row>
    <row r="293" spans="1:26" ht="15.75" customHeight="1">
      <c r="A293" s="1259"/>
      <c r="B293" s="1259"/>
      <c r="C293" s="1259"/>
      <c r="D293" s="1259"/>
      <c r="E293" s="1259"/>
      <c r="F293" s="1259"/>
      <c r="G293" s="1259"/>
      <c r="H293" s="1259"/>
      <c r="I293" s="1259"/>
      <c r="J293" s="1259"/>
      <c r="K293" s="1259"/>
      <c r="L293" s="1259"/>
      <c r="M293" s="1259"/>
      <c r="N293" s="1259"/>
      <c r="O293" s="1259"/>
      <c r="P293" s="1259"/>
      <c r="Q293" s="1259"/>
      <c r="R293" s="1259"/>
      <c r="S293" s="1259"/>
      <c r="T293" s="1259"/>
      <c r="U293" s="1259"/>
      <c r="V293" s="1259"/>
      <c r="W293" s="1259"/>
      <c r="X293" s="1259"/>
      <c r="Y293" s="1259"/>
      <c r="Z293" s="1259"/>
    </row>
    <row r="294" spans="1:26" ht="15.75" customHeight="1">
      <c r="A294" s="1259"/>
      <c r="B294" s="1259"/>
      <c r="C294" s="1259"/>
      <c r="D294" s="1259"/>
      <c r="E294" s="1259"/>
      <c r="F294" s="1259"/>
      <c r="G294" s="1259"/>
      <c r="H294" s="1259"/>
      <c r="I294" s="1259"/>
      <c r="J294" s="1259"/>
      <c r="K294" s="1259"/>
      <c r="L294" s="1259"/>
      <c r="M294" s="1259"/>
      <c r="N294" s="1259"/>
      <c r="O294" s="1259"/>
      <c r="P294" s="1259"/>
      <c r="Q294" s="1259"/>
      <c r="R294" s="1259"/>
      <c r="S294" s="1259"/>
      <c r="T294" s="1259"/>
      <c r="U294" s="1259"/>
      <c r="V294" s="1259"/>
      <c r="W294" s="1259"/>
      <c r="X294" s="1259"/>
      <c r="Y294" s="1259"/>
      <c r="Z294" s="1259"/>
    </row>
    <row r="295" spans="1:26" ht="15.75" customHeight="1">
      <c r="A295" s="1259"/>
      <c r="B295" s="1259"/>
      <c r="C295" s="1259"/>
      <c r="D295" s="1259"/>
      <c r="E295" s="1259"/>
      <c r="F295" s="1259"/>
      <c r="G295" s="1259"/>
      <c r="H295" s="1259"/>
      <c r="I295" s="1259"/>
      <c r="J295" s="1259"/>
      <c r="K295" s="1259"/>
      <c r="L295" s="1259"/>
      <c r="M295" s="1259"/>
      <c r="N295" s="1259"/>
      <c r="O295" s="1259"/>
      <c r="P295" s="1259"/>
      <c r="Q295" s="1259"/>
      <c r="R295" s="1259"/>
      <c r="S295" s="1259"/>
      <c r="T295" s="1259"/>
      <c r="U295" s="1259"/>
      <c r="V295" s="1259"/>
      <c r="W295" s="1259"/>
      <c r="X295" s="1259"/>
      <c r="Y295" s="1259"/>
      <c r="Z295" s="1259"/>
    </row>
    <row r="296" spans="1:26" ht="15.75" customHeight="1">
      <c r="A296" s="1259"/>
      <c r="B296" s="1259"/>
      <c r="C296" s="1259"/>
      <c r="D296" s="1259"/>
      <c r="E296" s="1259"/>
      <c r="F296" s="1259"/>
      <c r="G296" s="1259"/>
      <c r="H296" s="1259"/>
      <c r="I296" s="1259"/>
      <c r="J296" s="1259"/>
      <c r="K296" s="1259"/>
      <c r="L296" s="1259"/>
      <c r="M296" s="1259"/>
      <c r="N296" s="1259"/>
      <c r="O296" s="1259"/>
      <c r="P296" s="1259"/>
      <c r="Q296" s="1259"/>
      <c r="R296" s="1259"/>
      <c r="S296" s="1259"/>
      <c r="T296" s="1259"/>
      <c r="U296" s="1259"/>
      <c r="V296" s="1259"/>
      <c r="W296" s="1259"/>
      <c r="X296" s="1259"/>
      <c r="Y296" s="1259"/>
      <c r="Z296" s="1259"/>
    </row>
    <row r="297" spans="1:26" ht="15.75" customHeight="1">
      <c r="A297" s="1259"/>
      <c r="B297" s="1259"/>
      <c r="C297" s="1259"/>
      <c r="D297" s="1259"/>
      <c r="E297" s="1259"/>
      <c r="F297" s="1259"/>
      <c r="G297" s="1259"/>
      <c r="H297" s="1259"/>
      <c r="I297" s="1259"/>
      <c r="J297" s="1259"/>
      <c r="K297" s="1259"/>
      <c r="L297" s="1259"/>
      <c r="M297" s="1259"/>
      <c r="N297" s="1259"/>
      <c r="O297" s="1259"/>
      <c r="P297" s="1259"/>
      <c r="Q297" s="1259"/>
      <c r="R297" s="1259"/>
      <c r="S297" s="1259"/>
      <c r="T297" s="1259"/>
      <c r="U297" s="1259"/>
      <c r="V297" s="1259"/>
      <c r="W297" s="1259"/>
      <c r="X297" s="1259"/>
      <c r="Y297" s="1259"/>
      <c r="Z297" s="1259"/>
    </row>
    <row r="298" spans="1:26" ht="15.75" customHeight="1">
      <c r="A298" s="1259"/>
      <c r="B298" s="1259"/>
      <c r="C298" s="1259"/>
      <c r="D298" s="1259"/>
      <c r="E298" s="1259"/>
      <c r="F298" s="1259"/>
      <c r="G298" s="1259"/>
      <c r="H298" s="1259"/>
      <c r="I298" s="1259"/>
      <c r="J298" s="1259"/>
      <c r="K298" s="1259"/>
      <c r="L298" s="1259"/>
      <c r="M298" s="1259"/>
      <c r="N298" s="1259"/>
      <c r="O298" s="1259"/>
      <c r="P298" s="1259"/>
      <c r="Q298" s="1259"/>
      <c r="R298" s="1259"/>
      <c r="S298" s="1259"/>
      <c r="T298" s="1259"/>
      <c r="U298" s="1259"/>
      <c r="V298" s="1259"/>
      <c r="W298" s="1259"/>
      <c r="X298" s="1259"/>
      <c r="Y298" s="1259"/>
      <c r="Z298" s="1259"/>
    </row>
    <row r="299" spans="1:26" ht="15.75" customHeight="1">
      <c r="A299" s="1259"/>
      <c r="B299" s="1259"/>
      <c r="C299" s="1259"/>
      <c r="D299" s="1259"/>
      <c r="E299" s="1259"/>
      <c r="F299" s="1259"/>
      <c r="G299" s="1259"/>
      <c r="H299" s="1259"/>
      <c r="I299" s="1259"/>
      <c r="J299" s="1259"/>
      <c r="K299" s="1259"/>
      <c r="L299" s="1259"/>
      <c r="M299" s="1259"/>
      <c r="N299" s="1259"/>
      <c r="O299" s="1259"/>
      <c r="P299" s="1259"/>
      <c r="Q299" s="1259"/>
      <c r="R299" s="1259"/>
      <c r="S299" s="1259"/>
      <c r="T299" s="1259"/>
      <c r="U299" s="1259"/>
      <c r="V299" s="1259"/>
      <c r="W299" s="1259"/>
      <c r="X299" s="1259"/>
      <c r="Y299" s="1259"/>
      <c r="Z299" s="1259"/>
    </row>
    <row r="300" spans="1:26" ht="15.75" customHeight="1">
      <c r="A300" s="1259"/>
      <c r="B300" s="1259"/>
      <c r="C300" s="1259"/>
      <c r="D300" s="1259"/>
      <c r="E300" s="1259"/>
      <c r="F300" s="1259"/>
      <c r="G300" s="1259"/>
      <c r="H300" s="1259"/>
      <c r="I300" s="1259"/>
      <c r="J300" s="1259"/>
      <c r="K300" s="1259"/>
      <c r="L300" s="1259"/>
      <c r="M300" s="1259"/>
      <c r="N300" s="1259"/>
      <c r="O300" s="1259"/>
      <c r="P300" s="1259"/>
      <c r="Q300" s="1259"/>
      <c r="R300" s="1259"/>
      <c r="S300" s="1259"/>
      <c r="T300" s="1259"/>
      <c r="U300" s="1259"/>
      <c r="V300" s="1259"/>
      <c r="W300" s="1259"/>
      <c r="X300" s="1259"/>
      <c r="Y300" s="1259"/>
      <c r="Z300" s="1259"/>
    </row>
    <row r="301" spans="1:26" ht="15.75" customHeight="1">
      <c r="A301" s="1259"/>
      <c r="B301" s="1259"/>
      <c r="C301" s="1259"/>
      <c r="D301" s="1259"/>
      <c r="E301" s="1259"/>
      <c r="F301" s="1259"/>
      <c r="G301" s="1259"/>
      <c r="H301" s="1259"/>
      <c r="I301" s="1259"/>
      <c r="J301" s="1259"/>
      <c r="K301" s="1259"/>
      <c r="L301" s="1259"/>
      <c r="M301" s="1259"/>
      <c r="N301" s="1259"/>
      <c r="O301" s="1259"/>
      <c r="P301" s="1259"/>
      <c r="Q301" s="1259"/>
      <c r="R301" s="1259"/>
      <c r="S301" s="1259"/>
      <c r="T301" s="1259"/>
      <c r="U301" s="1259"/>
      <c r="V301" s="1259"/>
      <c r="W301" s="1259"/>
      <c r="X301" s="1259"/>
      <c r="Y301" s="1259"/>
      <c r="Z301" s="1259"/>
    </row>
    <row r="302" spans="1:26" ht="15.75" customHeight="1">
      <c r="A302" s="1259"/>
      <c r="B302" s="1259"/>
      <c r="C302" s="1259"/>
      <c r="D302" s="1259"/>
      <c r="E302" s="1259"/>
      <c r="F302" s="1259"/>
      <c r="G302" s="1259"/>
      <c r="H302" s="1259"/>
      <c r="I302" s="1259"/>
      <c r="J302" s="1259"/>
      <c r="K302" s="1259"/>
      <c r="L302" s="1259"/>
      <c r="M302" s="1259"/>
      <c r="N302" s="1259"/>
      <c r="O302" s="1259"/>
      <c r="P302" s="1259"/>
      <c r="Q302" s="1259"/>
      <c r="R302" s="1259"/>
      <c r="S302" s="1259"/>
      <c r="T302" s="1259"/>
      <c r="U302" s="1259"/>
      <c r="V302" s="1259"/>
      <c r="W302" s="1259"/>
      <c r="X302" s="1259"/>
      <c r="Y302" s="1259"/>
      <c r="Z302" s="1259"/>
    </row>
    <row r="303" spans="1:26" ht="15.75" customHeight="1">
      <c r="A303" s="1259"/>
      <c r="B303" s="1259"/>
      <c r="C303" s="1259"/>
      <c r="D303" s="1259"/>
      <c r="E303" s="1259"/>
      <c r="F303" s="1259"/>
      <c r="G303" s="1259"/>
      <c r="H303" s="1259"/>
      <c r="I303" s="1259"/>
      <c r="J303" s="1259"/>
      <c r="K303" s="1259"/>
      <c r="L303" s="1259"/>
      <c r="M303" s="1259"/>
      <c r="N303" s="1259"/>
      <c r="O303" s="1259"/>
      <c r="P303" s="1259"/>
      <c r="Q303" s="1259"/>
      <c r="R303" s="1259"/>
      <c r="S303" s="1259"/>
      <c r="T303" s="1259"/>
      <c r="U303" s="1259"/>
      <c r="V303" s="1259"/>
      <c r="W303" s="1259"/>
      <c r="X303" s="1259"/>
      <c r="Y303" s="1259"/>
      <c r="Z303" s="1259"/>
    </row>
    <row r="304" spans="1:26" ht="15.75" customHeight="1">
      <c r="A304" s="1259"/>
      <c r="B304" s="1259"/>
      <c r="C304" s="1259"/>
      <c r="D304" s="1259"/>
      <c r="E304" s="1259"/>
      <c r="F304" s="1259"/>
      <c r="G304" s="1259"/>
      <c r="H304" s="1259"/>
      <c r="I304" s="1259"/>
      <c r="J304" s="1259"/>
      <c r="K304" s="1259"/>
      <c r="L304" s="1259"/>
      <c r="M304" s="1259"/>
      <c r="N304" s="1259"/>
      <c r="O304" s="1259"/>
      <c r="P304" s="1259"/>
      <c r="Q304" s="1259"/>
      <c r="R304" s="1259"/>
      <c r="S304" s="1259"/>
      <c r="T304" s="1259"/>
      <c r="U304" s="1259"/>
      <c r="V304" s="1259"/>
      <c r="W304" s="1259"/>
      <c r="X304" s="1259"/>
      <c r="Y304" s="1259"/>
      <c r="Z304" s="1259"/>
    </row>
    <row r="305" spans="1:26" ht="15.75" customHeight="1">
      <c r="A305" s="1259"/>
      <c r="B305" s="1259"/>
      <c r="C305" s="1259"/>
      <c r="D305" s="1259"/>
      <c r="E305" s="1259"/>
      <c r="F305" s="1259"/>
      <c r="G305" s="1259"/>
      <c r="H305" s="1259"/>
      <c r="I305" s="1259"/>
      <c r="J305" s="1259"/>
      <c r="K305" s="1259"/>
      <c r="L305" s="1259"/>
      <c r="M305" s="1259"/>
      <c r="N305" s="1259"/>
      <c r="O305" s="1259"/>
      <c r="P305" s="1259"/>
      <c r="Q305" s="1259"/>
      <c r="R305" s="1259"/>
      <c r="S305" s="1259"/>
      <c r="T305" s="1259"/>
      <c r="U305" s="1259"/>
      <c r="V305" s="1259"/>
      <c r="W305" s="1259"/>
      <c r="X305" s="1259"/>
      <c r="Y305" s="1259"/>
      <c r="Z305" s="1259"/>
    </row>
    <row r="306" spans="1:26" ht="15.75" customHeight="1">
      <c r="A306" s="1259"/>
      <c r="B306" s="1259"/>
      <c r="C306" s="1259"/>
      <c r="D306" s="1259"/>
      <c r="E306" s="1259"/>
      <c r="F306" s="1259"/>
      <c r="G306" s="1259"/>
      <c r="H306" s="1259"/>
      <c r="I306" s="1259"/>
      <c r="J306" s="1259"/>
      <c r="K306" s="1259"/>
      <c r="L306" s="1259"/>
      <c r="M306" s="1259"/>
      <c r="N306" s="1259"/>
      <c r="O306" s="1259"/>
      <c r="P306" s="1259"/>
      <c r="Q306" s="1259"/>
      <c r="R306" s="1259"/>
      <c r="S306" s="1259"/>
      <c r="T306" s="1259"/>
      <c r="U306" s="1259"/>
      <c r="V306" s="1259"/>
      <c r="W306" s="1259"/>
      <c r="X306" s="1259"/>
      <c r="Y306" s="1259"/>
      <c r="Z306" s="1259"/>
    </row>
    <row r="307" spans="1:26" ht="15.75" customHeight="1">
      <c r="A307" s="1259"/>
      <c r="B307" s="1259"/>
      <c r="C307" s="1259"/>
      <c r="D307" s="1259"/>
      <c r="E307" s="1259"/>
      <c r="F307" s="1259"/>
      <c r="G307" s="1259"/>
      <c r="H307" s="1259"/>
      <c r="I307" s="1259"/>
      <c r="J307" s="1259"/>
      <c r="K307" s="1259"/>
      <c r="L307" s="1259"/>
      <c r="M307" s="1259"/>
      <c r="N307" s="1259"/>
      <c r="O307" s="1259"/>
      <c r="P307" s="1259"/>
      <c r="Q307" s="1259"/>
      <c r="R307" s="1259"/>
      <c r="S307" s="1259"/>
      <c r="T307" s="1259"/>
      <c r="U307" s="1259"/>
      <c r="V307" s="1259"/>
      <c r="W307" s="1259"/>
      <c r="X307" s="1259"/>
      <c r="Y307" s="1259"/>
      <c r="Z307" s="1259"/>
    </row>
    <row r="308" spans="1:26" ht="15.75" customHeight="1">
      <c r="A308" s="1259"/>
      <c r="B308" s="1259"/>
      <c r="C308" s="1259"/>
      <c r="D308" s="1259"/>
      <c r="E308" s="1259"/>
      <c r="F308" s="1259"/>
      <c r="G308" s="1259"/>
      <c r="H308" s="1259"/>
      <c r="I308" s="1259"/>
      <c r="J308" s="1259"/>
      <c r="K308" s="1259"/>
      <c r="L308" s="1259"/>
      <c r="M308" s="1259"/>
      <c r="N308" s="1259"/>
      <c r="O308" s="1259"/>
      <c r="P308" s="1259"/>
      <c r="Q308" s="1259"/>
      <c r="R308" s="1259"/>
      <c r="S308" s="1259"/>
      <c r="T308" s="1259"/>
      <c r="U308" s="1259"/>
      <c r="V308" s="1259"/>
      <c r="W308" s="1259"/>
      <c r="X308" s="1259"/>
      <c r="Y308" s="1259"/>
      <c r="Z308" s="1259"/>
    </row>
    <row r="309" spans="1:26" ht="15.75" customHeight="1">
      <c r="A309" s="1259"/>
      <c r="B309" s="1259"/>
      <c r="C309" s="1259"/>
      <c r="D309" s="1259"/>
      <c r="E309" s="1259"/>
      <c r="F309" s="1259"/>
      <c r="G309" s="1259"/>
      <c r="H309" s="1259"/>
      <c r="I309" s="1259"/>
      <c r="J309" s="1259"/>
      <c r="K309" s="1259"/>
      <c r="L309" s="1259"/>
      <c r="M309" s="1259"/>
      <c r="N309" s="1259"/>
      <c r="O309" s="1259"/>
      <c r="P309" s="1259"/>
      <c r="Q309" s="1259"/>
      <c r="R309" s="1259"/>
      <c r="S309" s="1259"/>
      <c r="T309" s="1259"/>
      <c r="U309" s="1259"/>
      <c r="V309" s="1259"/>
      <c r="W309" s="1259"/>
      <c r="X309" s="1259"/>
      <c r="Y309" s="1259"/>
      <c r="Z309" s="1259"/>
    </row>
    <row r="310" spans="1:26" ht="15.75" customHeight="1">
      <c r="A310" s="1259"/>
      <c r="B310" s="1259"/>
      <c r="C310" s="1259"/>
      <c r="D310" s="1259"/>
      <c r="E310" s="1259"/>
      <c r="F310" s="1259"/>
      <c r="G310" s="1259"/>
      <c r="H310" s="1259"/>
      <c r="I310" s="1259"/>
      <c r="J310" s="1259"/>
      <c r="K310" s="1259"/>
      <c r="L310" s="1259"/>
      <c r="M310" s="1259"/>
      <c r="N310" s="1259"/>
      <c r="O310" s="1259"/>
      <c r="P310" s="1259"/>
      <c r="Q310" s="1259"/>
      <c r="R310" s="1259"/>
      <c r="S310" s="1259"/>
      <c r="T310" s="1259"/>
      <c r="U310" s="1259"/>
      <c r="V310" s="1259"/>
      <c r="W310" s="1259"/>
      <c r="X310" s="1259"/>
      <c r="Y310" s="1259"/>
      <c r="Z310" s="1259"/>
    </row>
    <row r="311" spans="1:26" ht="15.75" customHeight="1">
      <c r="A311" s="1259"/>
      <c r="B311" s="1259"/>
      <c r="C311" s="1259"/>
      <c r="D311" s="1259"/>
      <c r="E311" s="1259"/>
      <c r="F311" s="1259"/>
      <c r="G311" s="1259"/>
      <c r="H311" s="1259"/>
      <c r="I311" s="1259"/>
      <c r="J311" s="1259"/>
      <c r="K311" s="1259"/>
      <c r="L311" s="1259"/>
      <c r="M311" s="1259"/>
      <c r="N311" s="1259"/>
      <c r="O311" s="1259"/>
      <c r="P311" s="1259"/>
      <c r="Q311" s="1259"/>
      <c r="R311" s="1259"/>
      <c r="S311" s="1259"/>
      <c r="T311" s="1259"/>
      <c r="U311" s="1259"/>
      <c r="V311" s="1259"/>
      <c r="W311" s="1259"/>
      <c r="X311" s="1259"/>
      <c r="Y311" s="1259"/>
      <c r="Z311" s="1259"/>
    </row>
    <row r="312" spans="1:26" ht="15.75" customHeight="1">
      <c r="A312" s="1259"/>
      <c r="B312" s="1259"/>
      <c r="C312" s="1259"/>
      <c r="D312" s="1259"/>
      <c r="E312" s="1259"/>
      <c r="F312" s="1259"/>
      <c r="G312" s="1259"/>
      <c r="H312" s="1259"/>
      <c r="I312" s="1259"/>
      <c r="J312" s="1259"/>
      <c r="K312" s="1259"/>
      <c r="L312" s="1259"/>
      <c r="M312" s="1259"/>
      <c r="N312" s="1259"/>
      <c r="O312" s="1259"/>
      <c r="P312" s="1259"/>
      <c r="Q312" s="1259"/>
      <c r="R312" s="1259"/>
      <c r="S312" s="1259"/>
      <c r="T312" s="1259"/>
      <c r="U312" s="1259"/>
      <c r="V312" s="1259"/>
      <c r="W312" s="1259"/>
      <c r="X312" s="1259"/>
      <c r="Y312" s="1259"/>
      <c r="Z312" s="1259"/>
    </row>
    <row r="313" spans="1:26" ht="15.75" customHeight="1">
      <c r="A313" s="1259"/>
      <c r="B313" s="1259"/>
      <c r="C313" s="1259"/>
      <c r="D313" s="1259"/>
      <c r="E313" s="1259"/>
      <c r="F313" s="1259"/>
      <c r="G313" s="1259"/>
      <c r="H313" s="1259"/>
      <c r="I313" s="1259"/>
      <c r="J313" s="1259"/>
      <c r="K313" s="1259"/>
      <c r="L313" s="1259"/>
      <c r="M313" s="1259"/>
      <c r="N313" s="1259"/>
      <c r="O313" s="1259"/>
      <c r="P313" s="1259"/>
      <c r="Q313" s="1259"/>
      <c r="R313" s="1259"/>
      <c r="S313" s="1259"/>
      <c r="T313" s="1259"/>
      <c r="U313" s="1259"/>
      <c r="V313" s="1259"/>
      <c r="W313" s="1259"/>
      <c r="X313" s="1259"/>
      <c r="Y313" s="1259"/>
      <c r="Z313" s="1259"/>
    </row>
    <row r="314" spans="1:26" ht="15.75" customHeight="1">
      <c r="A314" s="1259"/>
      <c r="B314" s="1259"/>
      <c r="C314" s="1259"/>
      <c r="D314" s="1259"/>
      <c r="E314" s="1259"/>
      <c r="F314" s="1259"/>
      <c r="G314" s="1259"/>
      <c r="H314" s="1259"/>
      <c r="I314" s="1259"/>
      <c r="J314" s="1259"/>
      <c r="K314" s="1259"/>
      <c r="L314" s="1259"/>
      <c r="M314" s="1259"/>
      <c r="N314" s="1259"/>
      <c r="O314" s="1259"/>
      <c r="P314" s="1259"/>
      <c r="Q314" s="1259"/>
      <c r="R314" s="1259"/>
      <c r="S314" s="1259"/>
      <c r="T314" s="1259"/>
      <c r="U314" s="1259"/>
      <c r="V314" s="1259"/>
      <c r="W314" s="1259"/>
      <c r="X314" s="1259"/>
      <c r="Y314" s="1259"/>
      <c r="Z314" s="1259"/>
    </row>
    <row r="315" spans="1:26" ht="15.75" customHeight="1">
      <c r="A315" s="1259"/>
      <c r="B315" s="1259"/>
      <c r="C315" s="1259"/>
      <c r="D315" s="1259"/>
      <c r="E315" s="1259"/>
      <c r="F315" s="1259"/>
      <c r="G315" s="1259"/>
      <c r="H315" s="1259"/>
      <c r="I315" s="1259"/>
      <c r="J315" s="1259"/>
      <c r="K315" s="1259"/>
      <c r="L315" s="1259"/>
      <c r="M315" s="1259"/>
      <c r="N315" s="1259"/>
      <c r="O315" s="1259"/>
      <c r="P315" s="1259"/>
      <c r="Q315" s="1259"/>
      <c r="R315" s="1259"/>
      <c r="S315" s="1259"/>
      <c r="T315" s="1259"/>
      <c r="U315" s="1259"/>
      <c r="V315" s="1259"/>
      <c r="W315" s="1259"/>
      <c r="X315" s="1259"/>
      <c r="Y315" s="1259"/>
      <c r="Z315" s="1259"/>
    </row>
    <row r="316" spans="1:26" ht="15.75" customHeight="1">
      <c r="A316" s="1259"/>
      <c r="B316" s="1259"/>
      <c r="C316" s="1259"/>
      <c r="D316" s="1259"/>
      <c r="E316" s="1259"/>
      <c r="F316" s="1259"/>
      <c r="G316" s="1259"/>
      <c r="H316" s="1259"/>
      <c r="I316" s="1259"/>
      <c r="J316" s="1259"/>
      <c r="K316" s="1259"/>
      <c r="L316" s="1259"/>
      <c r="M316" s="1259"/>
      <c r="N316" s="1259"/>
      <c r="O316" s="1259"/>
      <c r="P316" s="1259"/>
      <c r="Q316" s="1259"/>
      <c r="R316" s="1259"/>
      <c r="S316" s="1259"/>
      <c r="T316" s="1259"/>
      <c r="U316" s="1259"/>
      <c r="V316" s="1259"/>
      <c r="W316" s="1259"/>
      <c r="X316" s="1259"/>
      <c r="Y316" s="1259"/>
      <c r="Z316" s="1259"/>
    </row>
    <row r="317" spans="1:26" ht="15.75" customHeight="1">
      <c r="A317" s="1259"/>
      <c r="B317" s="1259"/>
      <c r="C317" s="1259"/>
      <c r="D317" s="1259"/>
      <c r="E317" s="1259"/>
      <c r="F317" s="1259"/>
      <c r="G317" s="1259"/>
      <c r="H317" s="1259"/>
      <c r="I317" s="1259"/>
      <c r="J317" s="1259"/>
      <c r="K317" s="1259"/>
      <c r="L317" s="1259"/>
      <c r="M317" s="1259"/>
      <c r="N317" s="1259"/>
      <c r="O317" s="1259"/>
      <c r="P317" s="1259"/>
      <c r="Q317" s="1259"/>
      <c r="R317" s="1259"/>
      <c r="S317" s="1259"/>
      <c r="T317" s="1259"/>
      <c r="U317" s="1259"/>
      <c r="V317" s="1259"/>
      <c r="W317" s="1259"/>
      <c r="X317" s="1259"/>
      <c r="Y317" s="1259"/>
      <c r="Z317" s="1259"/>
    </row>
    <row r="318" spans="1:26" ht="15.75" customHeight="1">
      <c r="A318" s="1259"/>
      <c r="B318" s="1259"/>
      <c r="C318" s="1259"/>
      <c r="D318" s="1259"/>
      <c r="E318" s="1259"/>
      <c r="F318" s="1259"/>
      <c r="G318" s="1259"/>
      <c r="H318" s="1259"/>
      <c r="I318" s="1259"/>
      <c r="J318" s="1259"/>
      <c r="K318" s="1259"/>
      <c r="L318" s="1259"/>
      <c r="M318" s="1259"/>
      <c r="N318" s="1259"/>
      <c r="O318" s="1259"/>
      <c r="P318" s="1259"/>
      <c r="Q318" s="1259"/>
      <c r="R318" s="1259"/>
      <c r="S318" s="1259"/>
      <c r="T318" s="1259"/>
      <c r="U318" s="1259"/>
      <c r="V318" s="1259"/>
      <c r="W318" s="1259"/>
      <c r="X318" s="1259"/>
      <c r="Y318" s="1259"/>
      <c r="Z318" s="1259"/>
    </row>
    <row r="319" spans="1:26" ht="15.75" customHeight="1">
      <c r="A319" s="1259"/>
      <c r="B319" s="1259"/>
      <c r="C319" s="1259"/>
      <c r="D319" s="1259"/>
      <c r="E319" s="1259"/>
      <c r="F319" s="1259"/>
      <c r="G319" s="1259"/>
      <c r="H319" s="1259"/>
      <c r="I319" s="1259"/>
      <c r="J319" s="1259"/>
      <c r="K319" s="1259"/>
      <c r="L319" s="1259"/>
      <c r="M319" s="1259"/>
      <c r="N319" s="1259"/>
      <c r="O319" s="1259"/>
      <c r="P319" s="1259"/>
      <c r="Q319" s="1259"/>
      <c r="R319" s="1259"/>
      <c r="S319" s="1259"/>
      <c r="T319" s="1259"/>
      <c r="U319" s="1259"/>
      <c r="V319" s="1259"/>
      <c r="W319" s="1259"/>
      <c r="X319" s="1259"/>
      <c r="Y319" s="1259"/>
      <c r="Z319" s="1259"/>
    </row>
    <row r="320" spans="1:26" ht="15.75" customHeight="1">
      <c r="A320" s="1259"/>
      <c r="B320" s="1259"/>
      <c r="C320" s="1259"/>
      <c r="D320" s="1259"/>
      <c r="E320" s="1259"/>
      <c r="F320" s="1259"/>
      <c r="G320" s="1259"/>
      <c r="H320" s="1259"/>
      <c r="I320" s="1259"/>
      <c r="J320" s="1259"/>
      <c r="K320" s="1259"/>
      <c r="L320" s="1259"/>
      <c r="M320" s="1259"/>
      <c r="N320" s="1259"/>
      <c r="O320" s="1259"/>
      <c r="P320" s="1259"/>
      <c r="Q320" s="1259"/>
      <c r="R320" s="1259"/>
      <c r="S320" s="1259"/>
      <c r="T320" s="1259"/>
      <c r="U320" s="1259"/>
      <c r="V320" s="1259"/>
      <c r="W320" s="1259"/>
      <c r="X320" s="1259"/>
      <c r="Y320" s="1259"/>
      <c r="Z320" s="1259"/>
    </row>
    <row r="321" spans="1:26" ht="15.75" customHeight="1">
      <c r="A321" s="1259"/>
      <c r="B321" s="1259"/>
      <c r="C321" s="1259"/>
      <c r="D321" s="1259"/>
      <c r="E321" s="1259"/>
      <c r="F321" s="1259"/>
      <c r="G321" s="1259"/>
      <c r="H321" s="1259"/>
      <c r="I321" s="1259"/>
      <c r="J321" s="1259"/>
      <c r="K321" s="1259"/>
      <c r="L321" s="1259"/>
      <c r="M321" s="1259"/>
      <c r="N321" s="1259"/>
      <c r="O321" s="1259"/>
      <c r="P321" s="1259"/>
      <c r="Q321" s="1259"/>
      <c r="R321" s="1259"/>
      <c r="S321" s="1259"/>
      <c r="T321" s="1259"/>
      <c r="U321" s="1259"/>
      <c r="V321" s="1259"/>
      <c r="W321" s="1259"/>
      <c r="X321" s="1259"/>
      <c r="Y321" s="1259"/>
      <c r="Z321" s="1259"/>
    </row>
    <row r="322" spans="1:26" ht="15.75" customHeight="1">
      <c r="A322" s="1259"/>
      <c r="B322" s="1259"/>
      <c r="C322" s="1259"/>
      <c r="D322" s="1259"/>
      <c r="E322" s="1259"/>
      <c r="F322" s="1259"/>
      <c r="G322" s="1259"/>
      <c r="H322" s="1259"/>
      <c r="I322" s="1259"/>
      <c r="J322" s="1259"/>
      <c r="K322" s="1259"/>
      <c r="L322" s="1259"/>
      <c r="M322" s="1259"/>
      <c r="N322" s="1259"/>
      <c r="O322" s="1259"/>
      <c r="P322" s="1259"/>
      <c r="Q322" s="1259"/>
      <c r="R322" s="1259"/>
      <c r="S322" s="1259"/>
      <c r="T322" s="1259"/>
      <c r="U322" s="1259"/>
      <c r="V322" s="1259"/>
      <c r="W322" s="1259"/>
      <c r="X322" s="1259"/>
      <c r="Y322" s="1259"/>
      <c r="Z322" s="1259"/>
    </row>
    <row r="323" spans="1:26" ht="15.75" customHeight="1">
      <c r="A323" s="1259"/>
      <c r="B323" s="1259"/>
      <c r="C323" s="1259"/>
      <c r="D323" s="1259"/>
      <c r="E323" s="1259"/>
      <c r="F323" s="1259"/>
      <c r="G323" s="1259"/>
      <c r="H323" s="1259"/>
      <c r="I323" s="1259"/>
      <c r="J323" s="1259"/>
      <c r="K323" s="1259"/>
      <c r="L323" s="1259"/>
      <c r="M323" s="1259"/>
      <c r="N323" s="1259"/>
      <c r="O323" s="1259"/>
      <c r="P323" s="1259"/>
      <c r="Q323" s="1259"/>
      <c r="R323" s="1259"/>
      <c r="S323" s="1259"/>
      <c r="T323" s="1259"/>
      <c r="U323" s="1259"/>
      <c r="V323" s="1259"/>
      <c r="W323" s="1259"/>
      <c r="X323" s="1259"/>
      <c r="Y323" s="1259"/>
      <c r="Z323" s="1259"/>
    </row>
    <row r="324" spans="1:26" ht="15.75" customHeight="1">
      <c r="A324" s="1259"/>
      <c r="B324" s="1259"/>
      <c r="C324" s="1259"/>
      <c r="D324" s="1259"/>
      <c r="E324" s="1259"/>
      <c r="F324" s="1259"/>
      <c r="G324" s="1259"/>
      <c r="H324" s="1259"/>
      <c r="I324" s="1259"/>
      <c r="J324" s="1259"/>
      <c r="K324" s="1259"/>
      <c r="L324" s="1259"/>
      <c r="M324" s="1259"/>
      <c r="N324" s="1259"/>
      <c r="O324" s="1259"/>
      <c r="P324" s="1259"/>
      <c r="Q324" s="1259"/>
      <c r="R324" s="1259"/>
      <c r="S324" s="1259"/>
      <c r="T324" s="1259"/>
      <c r="U324" s="1259"/>
      <c r="V324" s="1259"/>
      <c r="W324" s="1259"/>
      <c r="X324" s="1259"/>
      <c r="Y324" s="1259"/>
      <c r="Z324" s="1259"/>
    </row>
    <row r="325" spans="1:26" ht="15.75" customHeight="1">
      <c r="A325" s="1259"/>
      <c r="B325" s="1259"/>
      <c r="C325" s="1259"/>
      <c r="D325" s="1259"/>
      <c r="E325" s="1259"/>
      <c r="F325" s="1259"/>
      <c r="G325" s="1259"/>
      <c r="H325" s="1259"/>
      <c r="I325" s="1259"/>
      <c r="J325" s="1259"/>
      <c r="K325" s="1259"/>
      <c r="L325" s="1259"/>
      <c r="M325" s="1259"/>
      <c r="N325" s="1259"/>
      <c r="O325" s="1259"/>
      <c r="P325" s="1259"/>
      <c r="Q325" s="1259"/>
      <c r="R325" s="1259"/>
      <c r="S325" s="1259"/>
      <c r="T325" s="1259"/>
      <c r="U325" s="1259"/>
      <c r="V325" s="1259"/>
      <c r="W325" s="1259"/>
      <c r="X325" s="1259"/>
      <c r="Y325" s="1259"/>
      <c r="Z325" s="1259"/>
    </row>
    <row r="326" spans="1:26" ht="15.75" customHeight="1">
      <c r="A326" s="1259"/>
      <c r="B326" s="1259"/>
      <c r="C326" s="1259"/>
      <c r="D326" s="1259"/>
      <c r="E326" s="1259"/>
      <c r="F326" s="1259"/>
      <c r="G326" s="1259"/>
      <c r="H326" s="1259"/>
      <c r="I326" s="1259"/>
      <c r="J326" s="1259"/>
      <c r="K326" s="1259"/>
      <c r="L326" s="1259"/>
      <c r="M326" s="1259"/>
      <c r="N326" s="1259"/>
      <c r="O326" s="1259"/>
      <c r="P326" s="1259"/>
      <c r="Q326" s="1259"/>
      <c r="R326" s="1259"/>
      <c r="S326" s="1259"/>
      <c r="T326" s="1259"/>
      <c r="U326" s="1259"/>
      <c r="V326" s="1259"/>
      <c r="W326" s="1259"/>
      <c r="X326" s="1259"/>
      <c r="Y326" s="1259"/>
      <c r="Z326" s="1259"/>
    </row>
    <row r="327" spans="1:26" ht="15.75" customHeight="1">
      <c r="A327" s="1259"/>
      <c r="B327" s="1259"/>
      <c r="C327" s="1259"/>
      <c r="D327" s="1259"/>
      <c r="E327" s="1259"/>
      <c r="F327" s="1259"/>
      <c r="G327" s="1259"/>
      <c r="H327" s="1259"/>
      <c r="I327" s="1259"/>
      <c r="J327" s="1259"/>
      <c r="K327" s="1259"/>
      <c r="L327" s="1259"/>
      <c r="M327" s="1259"/>
      <c r="N327" s="1259"/>
      <c r="O327" s="1259"/>
      <c r="P327" s="1259"/>
      <c r="Q327" s="1259"/>
      <c r="R327" s="1259"/>
      <c r="S327" s="1259"/>
      <c r="T327" s="1259"/>
      <c r="U327" s="1259"/>
      <c r="V327" s="1259"/>
      <c r="W327" s="1259"/>
      <c r="X327" s="1259"/>
      <c r="Y327" s="1259"/>
      <c r="Z327" s="1259"/>
    </row>
    <row r="328" spans="1:26" ht="15.75" customHeight="1">
      <c r="A328" s="1259"/>
      <c r="B328" s="1259"/>
      <c r="C328" s="1259"/>
      <c r="D328" s="1259"/>
      <c r="E328" s="1259"/>
      <c r="F328" s="1259"/>
      <c r="G328" s="1259"/>
      <c r="H328" s="1259"/>
      <c r="I328" s="1259"/>
      <c r="J328" s="1259"/>
      <c r="K328" s="1259"/>
      <c r="L328" s="1259"/>
      <c r="M328" s="1259"/>
      <c r="N328" s="1259"/>
      <c r="O328" s="1259"/>
      <c r="P328" s="1259"/>
      <c r="Q328" s="1259"/>
      <c r="R328" s="1259"/>
      <c r="S328" s="1259"/>
      <c r="T328" s="1259"/>
      <c r="U328" s="1259"/>
      <c r="V328" s="1259"/>
      <c r="W328" s="1259"/>
      <c r="X328" s="1259"/>
      <c r="Y328" s="1259"/>
      <c r="Z328" s="1259"/>
    </row>
    <row r="329" spans="1:26" ht="15.75" customHeight="1">
      <c r="A329" s="1259"/>
      <c r="B329" s="1259"/>
      <c r="C329" s="1259"/>
      <c r="D329" s="1259"/>
      <c r="E329" s="1259"/>
      <c r="F329" s="1259"/>
      <c r="G329" s="1259"/>
      <c r="H329" s="1259"/>
      <c r="I329" s="1259"/>
      <c r="J329" s="1259"/>
      <c r="K329" s="1259"/>
      <c r="L329" s="1259"/>
      <c r="M329" s="1259"/>
      <c r="N329" s="1259"/>
      <c r="O329" s="1259"/>
      <c r="P329" s="1259"/>
      <c r="Q329" s="1259"/>
      <c r="R329" s="1259"/>
      <c r="S329" s="1259"/>
      <c r="T329" s="1259"/>
      <c r="U329" s="1259"/>
      <c r="V329" s="1259"/>
      <c r="W329" s="1259"/>
      <c r="X329" s="1259"/>
      <c r="Y329" s="1259"/>
      <c r="Z329" s="1259"/>
    </row>
    <row r="330" spans="1:26" ht="15.75" customHeight="1">
      <c r="A330" s="1259"/>
      <c r="B330" s="1259"/>
      <c r="C330" s="1259"/>
      <c r="D330" s="1259"/>
      <c r="E330" s="1259"/>
      <c r="F330" s="1259"/>
      <c r="G330" s="1259"/>
      <c r="H330" s="1259"/>
      <c r="I330" s="1259"/>
      <c r="J330" s="1259"/>
      <c r="K330" s="1259"/>
      <c r="L330" s="1259"/>
      <c r="M330" s="1259"/>
      <c r="N330" s="1259"/>
      <c r="O330" s="1259"/>
      <c r="P330" s="1259"/>
      <c r="Q330" s="1259"/>
      <c r="R330" s="1259"/>
      <c r="S330" s="1259"/>
      <c r="T330" s="1259"/>
      <c r="U330" s="1259"/>
      <c r="V330" s="1259"/>
      <c r="W330" s="1259"/>
      <c r="X330" s="1259"/>
      <c r="Y330" s="1259"/>
      <c r="Z330" s="1259"/>
    </row>
    <row r="331" spans="1:26" ht="15.75" customHeight="1">
      <c r="A331" s="1259"/>
      <c r="B331" s="1259"/>
      <c r="C331" s="1259"/>
      <c r="D331" s="1259"/>
      <c r="E331" s="1259"/>
      <c r="F331" s="1259"/>
      <c r="G331" s="1259"/>
      <c r="H331" s="1259"/>
      <c r="I331" s="1259"/>
      <c r="J331" s="1259"/>
      <c r="K331" s="1259"/>
      <c r="L331" s="1259"/>
      <c r="M331" s="1259"/>
      <c r="N331" s="1259"/>
      <c r="O331" s="1259"/>
      <c r="P331" s="1259"/>
      <c r="Q331" s="1259"/>
      <c r="R331" s="1259"/>
      <c r="S331" s="1259"/>
      <c r="T331" s="1259"/>
      <c r="U331" s="1259"/>
      <c r="V331" s="1259"/>
      <c r="W331" s="1259"/>
      <c r="X331" s="1259"/>
      <c r="Y331" s="1259"/>
      <c r="Z331" s="1259"/>
    </row>
    <row r="332" spans="1:26" ht="15.75" customHeight="1">
      <c r="A332" s="1259"/>
      <c r="B332" s="1259"/>
      <c r="C332" s="1259"/>
      <c r="D332" s="1259"/>
      <c r="E332" s="1259"/>
      <c r="F332" s="1259"/>
      <c r="G332" s="1259"/>
      <c r="H332" s="1259"/>
      <c r="I332" s="1259"/>
      <c r="J332" s="1259"/>
      <c r="K332" s="1259"/>
      <c r="L332" s="1259"/>
      <c r="M332" s="1259"/>
      <c r="N332" s="1259"/>
      <c r="O332" s="1259"/>
      <c r="P332" s="1259"/>
      <c r="Q332" s="1259"/>
      <c r="R332" s="1259"/>
      <c r="S332" s="1259"/>
      <c r="T332" s="1259"/>
      <c r="U332" s="1259"/>
      <c r="V332" s="1259"/>
      <c r="W332" s="1259"/>
      <c r="X332" s="1259"/>
      <c r="Y332" s="1259"/>
      <c r="Z332" s="1259"/>
    </row>
    <row r="333" spans="1:26" ht="15.75" customHeight="1">
      <c r="A333" s="1259"/>
      <c r="B333" s="1259"/>
      <c r="C333" s="1259"/>
      <c r="D333" s="1259"/>
      <c r="E333" s="1259"/>
      <c r="F333" s="1259"/>
      <c r="G333" s="1259"/>
      <c r="H333" s="1259"/>
      <c r="I333" s="1259"/>
      <c r="J333" s="1259"/>
      <c r="K333" s="1259"/>
      <c r="L333" s="1259"/>
      <c r="M333" s="1259"/>
      <c r="N333" s="1259"/>
      <c r="O333" s="1259"/>
      <c r="P333" s="1259"/>
      <c r="Q333" s="1259"/>
      <c r="R333" s="1259"/>
      <c r="S333" s="1259"/>
      <c r="T333" s="1259"/>
      <c r="U333" s="1259"/>
      <c r="V333" s="1259"/>
      <c r="W333" s="1259"/>
      <c r="X333" s="1259"/>
      <c r="Y333" s="1259"/>
      <c r="Z333" s="1259"/>
    </row>
    <row r="334" spans="1:26" ht="15.75" customHeight="1">
      <c r="A334" s="1259"/>
      <c r="B334" s="1259"/>
      <c r="C334" s="1259"/>
      <c r="D334" s="1259"/>
      <c r="E334" s="1259"/>
      <c r="F334" s="1259"/>
      <c r="G334" s="1259"/>
      <c r="H334" s="1259"/>
      <c r="I334" s="1259"/>
      <c r="J334" s="1259"/>
      <c r="K334" s="1259"/>
      <c r="L334" s="1259"/>
      <c r="M334" s="1259"/>
      <c r="N334" s="1259"/>
      <c r="O334" s="1259"/>
      <c r="P334" s="1259"/>
      <c r="Q334" s="1259"/>
      <c r="R334" s="1259"/>
      <c r="S334" s="1259"/>
      <c r="T334" s="1259"/>
      <c r="U334" s="1259"/>
      <c r="V334" s="1259"/>
      <c r="W334" s="1259"/>
      <c r="X334" s="1259"/>
      <c r="Y334" s="1259"/>
      <c r="Z334" s="1259"/>
    </row>
    <row r="335" spans="1:26" ht="15.75" customHeight="1">
      <c r="A335" s="1259"/>
      <c r="B335" s="1259"/>
      <c r="C335" s="1259"/>
      <c r="D335" s="1259"/>
      <c r="E335" s="1259"/>
      <c r="F335" s="1259"/>
      <c r="G335" s="1259"/>
      <c r="H335" s="1259"/>
      <c r="I335" s="1259"/>
      <c r="J335" s="1259"/>
      <c r="K335" s="1259"/>
      <c r="L335" s="1259"/>
      <c r="M335" s="1259"/>
      <c r="N335" s="1259"/>
      <c r="O335" s="1259"/>
      <c r="P335" s="1259"/>
      <c r="Q335" s="1259"/>
      <c r="R335" s="1259"/>
      <c r="S335" s="1259"/>
      <c r="T335" s="1259"/>
      <c r="U335" s="1259"/>
      <c r="V335" s="1259"/>
      <c r="W335" s="1259"/>
      <c r="X335" s="1259"/>
      <c r="Y335" s="1259"/>
      <c r="Z335" s="1259"/>
    </row>
    <row r="336" spans="1:26" ht="15.75" customHeight="1">
      <c r="A336" s="1259"/>
      <c r="B336" s="1259"/>
      <c r="C336" s="1259"/>
      <c r="D336" s="1259"/>
      <c r="E336" s="1259"/>
      <c r="F336" s="1259"/>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row>
    <row r="337" spans="1:26" ht="15.75" customHeight="1">
      <c r="A337" s="1259"/>
      <c r="B337" s="1259"/>
      <c r="C337" s="1259"/>
      <c r="D337" s="1259"/>
      <c r="E337" s="1259"/>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row>
    <row r="338" spans="1:26" ht="15.75" customHeight="1">
      <c r="A338" s="1259"/>
      <c r="B338" s="1259"/>
      <c r="C338" s="1259"/>
      <c r="D338" s="1259"/>
      <c r="E338" s="1259"/>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row>
    <row r="339" spans="1:26" ht="15.75" customHeight="1">
      <c r="A339" s="1259"/>
      <c r="B339" s="1259"/>
      <c r="C339" s="1259"/>
      <c r="D339" s="1259"/>
      <c r="E339" s="1259"/>
      <c r="F339" s="1259"/>
      <c r="G339" s="1259"/>
      <c r="H339" s="1259"/>
      <c r="I339" s="1259"/>
      <c r="J339" s="1259"/>
      <c r="K339" s="1259"/>
      <c r="L339" s="1259"/>
      <c r="M339" s="1259"/>
      <c r="N339" s="1259"/>
      <c r="O339" s="1259"/>
      <c r="P339" s="1259"/>
      <c r="Q339" s="1259"/>
      <c r="R339" s="1259"/>
      <c r="S339" s="1259"/>
      <c r="T339" s="1259"/>
      <c r="U339" s="1259"/>
      <c r="V339" s="1259"/>
      <c r="W339" s="1259"/>
      <c r="X339" s="1259"/>
      <c r="Y339" s="1259"/>
      <c r="Z339" s="1259"/>
    </row>
    <row r="340" spans="1:26" ht="15.75" customHeight="1">
      <c r="A340" s="1259"/>
      <c r="B340" s="1259"/>
      <c r="C340" s="1259"/>
      <c r="D340" s="1259"/>
      <c r="E340" s="1259"/>
      <c r="F340" s="1259"/>
      <c r="G340" s="1259"/>
      <c r="H340" s="1259"/>
      <c r="I340" s="1259"/>
      <c r="J340" s="1259"/>
      <c r="K340" s="1259"/>
      <c r="L340" s="1259"/>
      <c r="M340" s="1259"/>
      <c r="N340" s="1259"/>
      <c r="O340" s="1259"/>
      <c r="P340" s="1259"/>
      <c r="Q340" s="1259"/>
      <c r="R340" s="1259"/>
      <c r="S340" s="1259"/>
      <c r="T340" s="1259"/>
      <c r="U340" s="1259"/>
      <c r="V340" s="1259"/>
      <c r="W340" s="1259"/>
      <c r="X340" s="1259"/>
      <c r="Y340" s="1259"/>
      <c r="Z340" s="1259"/>
    </row>
    <row r="341" spans="1:26" ht="15.75" customHeight="1">
      <c r="A341" s="1259"/>
      <c r="B341" s="1259"/>
      <c r="C341" s="1259"/>
      <c r="D341" s="1259"/>
      <c r="E341" s="1259"/>
      <c r="F341" s="1259"/>
      <c r="G341" s="1259"/>
      <c r="H341" s="1259"/>
      <c r="I341" s="1259"/>
      <c r="J341" s="1259"/>
      <c r="K341" s="1259"/>
      <c r="L341" s="1259"/>
      <c r="M341" s="1259"/>
      <c r="N341" s="1259"/>
      <c r="O341" s="1259"/>
      <c r="P341" s="1259"/>
      <c r="Q341" s="1259"/>
      <c r="R341" s="1259"/>
      <c r="S341" s="1259"/>
      <c r="T341" s="1259"/>
      <c r="U341" s="1259"/>
      <c r="V341" s="1259"/>
      <c r="W341" s="1259"/>
      <c r="X341" s="1259"/>
      <c r="Y341" s="1259"/>
      <c r="Z341" s="1259"/>
    </row>
    <row r="342" spans="1:26" ht="15.75" customHeight="1">
      <c r="A342" s="1259"/>
      <c r="B342" s="1259"/>
      <c r="C342" s="1259"/>
      <c r="D342" s="1259"/>
      <c r="E342" s="1259"/>
      <c r="F342" s="1259"/>
      <c r="G342" s="1259"/>
      <c r="H342" s="1259"/>
      <c r="I342" s="1259"/>
      <c r="J342" s="1259"/>
      <c r="K342" s="1259"/>
      <c r="L342" s="1259"/>
      <c r="M342" s="1259"/>
      <c r="N342" s="1259"/>
      <c r="O342" s="1259"/>
      <c r="P342" s="1259"/>
      <c r="Q342" s="1259"/>
      <c r="R342" s="1259"/>
      <c r="S342" s="1259"/>
      <c r="T342" s="1259"/>
      <c r="U342" s="1259"/>
      <c r="V342" s="1259"/>
      <c r="W342" s="1259"/>
      <c r="X342" s="1259"/>
      <c r="Y342" s="1259"/>
      <c r="Z342" s="1259"/>
    </row>
    <row r="343" spans="1:26" ht="15.75" customHeight="1">
      <c r="A343" s="1259"/>
      <c r="B343" s="1259"/>
      <c r="C343" s="1259"/>
      <c r="D343" s="1259"/>
      <c r="E343" s="1259"/>
      <c r="F343" s="1259"/>
      <c r="G343" s="1259"/>
      <c r="H343" s="1259"/>
      <c r="I343" s="1259"/>
      <c r="J343" s="1259"/>
      <c r="K343" s="1259"/>
      <c r="L343" s="1259"/>
      <c r="M343" s="1259"/>
      <c r="N343" s="1259"/>
      <c r="O343" s="1259"/>
      <c r="P343" s="1259"/>
      <c r="Q343" s="1259"/>
      <c r="R343" s="1259"/>
      <c r="S343" s="1259"/>
      <c r="T343" s="1259"/>
      <c r="U343" s="1259"/>
      <c r="V343" s="1259"/>
      <c r="W343" s="1259"/>
      <c r="X343" s="1259"/>
      <c r="Y343" s="1259"/>
      <c r="Z343" s="1259"/>
    </row>
    <row r="344" spans="1:26" ht="15.75" customHeight="1">
      <c r="A344" s="1259"/>
      <c r="B344" s="1259"/>
      <c r="C344" s="1259"/>
      <c r="D344" s="1259"/>
      <c r="E344" s="1259"/>
      <c r="F344" s="1259"/>
      <c r="G344" s="1259"/>
      <c r="H344" s="1259"/>
      <c r="I344" s="1259"/>
      <c r="J344" s="1259"/>
      <c r="K344" s="1259"/>
      <c r="L344" s="1259"/>
      <c r="M344" s="1259"/>
      <c r="N344" s="1259"/>
      <c r="O344" s="1259"/>
      <c r="P344" s="1259"/>
      <c r="Q344" s="1259"/>
      <c r="R344" s="1259"/>
      <c r="S344" s="1259"/>
      <c r="T344" s="1259"/>
      <c r="U344" s="1259"/>
      <c r="V344" s="1259"/>
      <c r="W344" s="1259"/>
      <c r="X344" s="1259"/>
      <c r="Y344" s="1259"/>
      <c r="Z344" s="1259"/>
    </row>
    <row r="345" spans="1:26" ht="15.75" customHeight="1">
      <c r="A345" s="1259"/>
      <c r="B345" s="1259"/>
      <c r="C345" s="1259"/>
      <c r="D345" s="1259"/>
      <c r="E345" s="1259"/>
      <c r="F345" s="1259"/>
      <c r="G345" s="1259"/>
      <c r="H345" s="1259"/>
      <c r="I345" s="1259"/>
      <c r="J345" s="1259"/>
      <c r="K345" s="1259"/>
      <c r="L345" s="1259"/>
      <c r="M345" s="1259"/>
      <c r="N345" s="1259"/>
      <c r="O345" s="1259"/>
      <c r="P345" s="1259"/>
      <c r="Q345" s="1259"/>
      <c r="R345" s="1259"/>
      <c r="S345" s="1259"/>
      <c r="T345" s="1259"/>
      <c r="U345" s="1259"/>
      <c r="V345" s="1259"/>
      <c r="W345" s="1259"/>
      <c r="X345" s="1259"/>
      <c r="Y345" s="1259"/>
      <c r="Z345" s="1259"/>
    </row>
    <row r="346" spans="1:26" ht="15.75" customHeight="1">
      <c r="A346" s="1259"/>
      <c r="B346" s="1259"/>
      <c r="C346" s="1259"/>
      <c r="D346" s="1259"/>
      <c r="E346" s="1259"/>
      <c r="F346" s="1259"/>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row>
    <row r="347" spans="1:26" ht="15.75" customHeigh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row>
    <row r="348" spans="1:26" ht="15.75" customHeight="1">
      <c r="A348" s="1259"/>
      <c r="B348" s="1259"/>
      <c r="C348" s="1259"/>
      <c r="D348" s="1259"/>
      <c r="E348" s="1259"/>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row>
    <row r="349" spans="1:26" ht="15.75" customHeight="1">
      <c r="A349" s="1259"/>
      <c r="B349" s="1259"/>
      <c r="C349" s="1259"/>
      <c r="D349" s="1259"/>
      <c r="E349" s="1259"/>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row>
    <row r="350" spans="1:26" ht="15.75" customHeight="1">
      <c r="A350" s="1259"/>
      <c r="B350" s="1259"/>
      <c r="C350" s="1259"/>
      <c r="D350" s="1259"/>
      <c r="E350" s="1259"/>
      <c r="F350" s="1259"/>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row>
    <row r="351" spans="1:26" ht="15.75" customHeight="1">
      <c r="A351" s="1259"/>
      <c r="B351" s="1259"/>
      <c r="C351" s="1259"/>
      <c r="D351" s="1259"/>
      <c r="E351" s="1259"/>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row>
    <row r="352" spans="1:26" ht="15.75" customHeight="1">
      <c r="A352" s="1259"/>
      <c r="B352" s="1259"/>
      <c r="C352" s="1259"/>
      <c r="D352" s="1259"/>
      <c r="E352" s="1259"/>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row>
    <row r="353" spans="1:26" ht="15.75" customHeight="1">
      <c r="A353" s="1259"/>
      <c r="B353" s="1259"/>
      <c r="C353" s="1259"/>
      <c r="D353" s="1259"/>
      <c r="E353" s="1259"/>
      <c r="F353" s="1259"/>
      <c r="G353" s="1259"/>
      <c r="H353" s="1259"/>
      <c r="I353" s="1259"/>
      <c r="J353" s="1259"/>
      <c r="K353" s="1259"/>
      <c r="L353" s="1259"/>
      <c r="M353" s="1259"/>
      <c r="N353" s="1259"/>
      <c r="O353" s="1259"/>
      <c r="P353" s="1259"/>
      <c r="Q353" s="1259"/>
      <c r="R353" s="1259"/>
      <c r="S353" s="1259"/>
      <c r="T353" s="1259"/>
      <c r="U353" s="1259"/>
      <c r="V353" s="1259"/>
      <c r="W353" s="1259"/>
      <c r="X353" s="1259"/>
      <c r="Y353" s="1259"/>
      <c r="Z353" s="1259"/>
    </row>
    <row r="354" spans="1:26" ht="15.75" customHeight="1">
      <c r="A354" s="1259"/>
      <c r="B354" s="1259"/>
      <c r="C354" s="1259"/>
      <c r="D354" s="1259"/>
      <c r="E354" s="1259"/>
      <c r="F354" s="1259"/>
      <c r="G354" s="1259"/>
      <c r="H354" s="1259"/>
      <c r="I354" s="1259"/>
      <c r="J354" s="1259"/>
      <c r="K354" s="1259"/>
      <c r="L354" s="1259"/>
      <c r="M354" s="1259"/>
      <c r="N354" s="1259"/>
      <c r="O354" s="1259"/>
      <c r="P354" s="1259"/>
      <c r="Q354" s="1259"/>
      <c r="R354" s="1259"/>
      <c r="S354" s="1259"/>
      <c r="T354" s="1259"/>
      <c r="U354" s="1259"/>
      <c r="V354" s="1259"/>
      <c r="W354" s="1259"/>
      <c r="X354" s="1259"/>
      <c r="Y354" s="1259"/>
      <c r="Z354" s="1259"/>
    </row>
    <row r="355" spans="1:26" ht="15.75" customHeight="1">
      <c r="A355" s="1259"/>
      <c r="B355" s="1259"/>
      <c r="C355" s="1259"/>
      <c r="D355" s="1259"/>
      <c r="E355" s="1259"/>
      <c r="F355" s="1259"/>
      <c r="G355" s="1259"/>
      <c r="H355" s="1259"/>
      <c r="I355" s="1259"/>
      <c r="J355" s="1259"/>
      <c r="K355" s="1259"/>
      <c r="L355" s="1259"/>
      <c r="M355" s="1259"/>
      <c r="N355" s="1259"/>
      <c r="O355" s="1259"/>
      <c r="P355" s="1259"/>
      <c r="Q355" s="1259"/>
      <c r="R355" s="1259"/>
      <c r="S355" s="1259"/>
      <c r="T355" s="1259"/>
      <c r="U355" s="1259"/>
      <c r="V355" s="1259"/>
      <c r="W355" s="1259"/>
      <c r="X355" s="1259"/>
      <c r="Y355" s="1259"/>
      <c r="Z355" s="1259"/>
    </row>
    <row r="356" spans="1:26" ht="15.75" customHeight="1">
      <c r="A356" s="1259"/>
      <c r="B356" s="1259"/>
      <c r="C356" s="1259"/>
      <c r="D356" s="1259"/>
      <c r="E356" s="1259"/>
      <c r="F356" s="1259"/>
      <c r="G356" s="1259"/>
      <c r="H356" s="1259"/>
      <c r="I356" s="1259"/>
      <c r="J356" s="1259"/>
      <c r="K356" s="1259"/>
      <c r="L356" s="1259"/>
      <c r="M356" s="1259"/>
      <c r="N356" s="1259"/>
      <c r="O356" s="1259"/>
      <c r="P356" s="1259"/>
      <c r="Q356" s="1259"/>
      <c r="R356" s="1259"/>
      <c r="S356" s="1259"/>
      <c r="T356" s="1259"/>
      <c r="U356" s="1259"/>
      <c r="V356" s="1259"/>
      <c r="W356" s="1259"/>
      <c r="X356" s="1259"/>
      <c r="Y356" s="1259"/>
      <c r="Z356" s="1259"/>
    </row>
    <row r="357" spans="1:26" ht="15.75" customHeight="1">
      <c r="A357" s="1259"/>
      <c r="B357" s="1259"/>
      <c r="C357" s="1259"/>
      <c r="D357" s="1259"/>
      <c r="E357" s="1259"/>
      <c r="F357" s="1259"/>
      <c r="G357" s="1259"/>
      <c r="H357" s="1259"/>
      <c r="I357" s="1259"/>
      <c r="J357" s="1259"/>
      <c r="K357" s="1259"/>
      <c r="L357" s="1259"/>
      <c r="M357" s="1259"/>
      <c r="N357" s="1259"/>
      <c r="O357" s="1259"/>
      <c r="P357" s="1259"/>
      <c r="Q357" s="1259"/>
      <c r="R357" s="1259"/>
      <c r="S357" s="1259"/>
      <c r="T357" s="1259"/>
      <c r="U357" s="1259"/>
      <c r="V357" s="1259"/>
      <c r="W357" s="1259"/>
      <c r="X357" s="1259"/>
      <c r="Y357" s="1259"/>
      <c r="Z357" s="1259"/>
    </row>
    <row r="358" spans="1:26" ht="15.75" customHeight="1">
      <c r="A358" s="1259"/>
      <c r="B358" s="1259"/>
      <c r="C358" s="1259"/>
      <c r="D358" s="1259"/>
      <c r="E358" s="1259"/>
      <c r="F358" s="1259"/>
      <c r="G358" s="1259"/>
      <c r="H358" s="1259"/>
      <c r="I358" s="1259"/>
      <c r="J358" s="1259"/>
      <c r="K358" s="1259"/>
      <c r="L358" s="1259"/>
      <c r="M358" s="1259"/>
      <c r="N358" s="1259"/>
      <c r="O358" s="1259"/>
      <c r="P358" s="1259"/>
      <c r="Q358" s="1259"/>
      <c r="R358" s="1259"/>
      <c r="S358" s="1259"/>
      <c r="T358" s="1259"/>
      <c r="U358" s="1259"/>
      <c r="V358" s="1259"/>
      <c r="W358" s="1259"/>
      <c r="X358" s="1259"/>
      <c r="Y358" s="1259"/>
      <c r="Z358" s="1259"/>
    </row>
    <row r="359" spans="1:26" ht="15.75" customHeight="1">
      <c r="A359" s="1259"/>
      <c r="B359" s="1259"/>
      <c r="C359" s="1259"/>
      <c r="D359" s="1259"/>
      <c r="E359" s="1259"/>
      <c r="F359" s="1259"/>
      <c r="G359" s="1259"/>
      <c r="H359" s="1259"/>
      <c r="I359" s="1259"/>
      <c r="J359" s="1259"/>
      <c r="K359" s="1259"/>
      <c r="L359" s="1259"/>
      <c r="M359" s="1259"/>
      <c r="N359" s="1259"/>
      <c r="O359" s="1259"/>
      <c r="P359" s="1259"/>
      <c r="Q359" s="1259"/>
      <c r="R359" s="1259"/>
      <c r="S359" s="1259"/>
      <c r="T359" s="1259"/>
      <c r="U359" s="1259"/>
      <c r="V359" s="1259"/>
      <c r="W359" s="1259"/>
      <c r="X359" s="1259"/>
      <c r="Y359" s="1259"/>
      <c r="Z359" s="1259"/>
    </row>
    <row r="360" spans="1:26" ht="15.75" customHeight="1">
      <c r="A360" s="1259"/>
      <c r="B360" s="1259"/>
      <c r="C360" s="1259"/>
      <c r="D360" s="1259"/>
      <c r="E360" s="1259"/>
      <c r="F360" s="1259"/>
      <c r="G360" s="1259"/>
      <c r="H360" s="1259"/>
      <c r="I360" s="1259"/>
      <c r="J360" s="1259"/>
      <c r="K360" s="1259"/>
      <c r="L360" s="1259"/>
      <c r="M360" s="1259"/>
      <c r="N360" s="1259"/>
      <c r="O360" s="1259"/>
      <c r="P360" s="1259"/>
      <c r="Q360" s="1259"/>
      <c r="R360" s="1259"/>
      <c r="S360" s="1259"/>
      <c r="T360" s="1259"/>
      <c r="U360" s="1259"/>
      <c r="V360" s="1259"/>
      <c r="W360" s="1259"/>
      <c r="X360" s="1259"/>
      <c r="Y360" s="1259"/>
      <c r="Z360" s="1259"/>
    </row>
    <row r="361" spans="1:26" ht="15.75" customHeight="1">
      <c r="A361" s="1259"/>
      <c r="B361" s="1259"/>
      <c r="C361" s="1259"/>
      <c r="D361" s="1259"/>
      <c r="E361" s="1259"/>
      <c r="F361" s="1259"/>
      <c r="G361" s="1259"/>
      <c r="H361" s="1259"/>
      <c r="I361" s="1259"/>
      <c r="J361" s="1259"/>
      <c r="K361" s="1259"/>
      <c r="L361" s="1259"/>
      <c r="M361" s="1259"/>
      <c r="N361" s="1259"/>
      <c r="O361" s="1259"/>
      <c r="P361" s="1259"/>
      <c r="Q361" s="1259"/>
      <c r="R361" s="1259"/>
      <c r="S361" s="1259"/>
      <c r="T361" s="1259"/>
      <c r="U361" s="1259"/>
      <c r="V361" s="1259"/>
      <c r="W361" s="1259"/>
      <c r="X361" s="1259"/>
      <c r="Y361" s="1259"/>
      <c r="Z361" s="1259"/>
    </row>
    <row r="362" spans="1:26" ht="15.75" customHeight="1">
      <c r="A362" s="1259"/>
      <c r="B362" s="1259"/>
      <c r="C362" s="1259"/>
      <c r="D362" s="1259"/>
      <c r="E362" s="1259"/>
      <c r="F362" s="1259"/>
      <c r="G362" s="1259"/>
      <c r="H362" s="1259"/>
      <c r="I362" s="1259"/>
      <c r="J362" s="1259"/>
      <c r="K362" s="1259"/>
      <c r="L362" s="1259"/>
      <c r="M362" s="1259"/>
      <c r="N362" s="1259"/>
      <c r="O362" s="1259"/>
      <c r="P362" s="1259"/>
      <c r="Q362" s="1259"/>
      <c r="R362" s="1259"/>
      <c r="S362" s="1259"/>
      <c r="T362" s="1259"/>
      <c r="U362" s="1259"/>
      <c r="V362" s="1259"/>
      <c r="W362" s="1259"/>
      <c r="X362" s="1259"/>
      <c r="Y362" s="1259"/>
      <c r="Z362" s="1259"/>
    </row>
    <row r="363" spans="1:26" ht="15.75" customHeight="1">
      <c r="A363" s="1259"/>
      <c r="B363" s="1259"/>
      <c r="C363" s="1259"/>
      <c r="D363" s="1259"/>
      <c r="E363" s="1259"/>
      <c r="F363" s="1259"/>
      <c r="G363" s="1259"/>
      <c r="H363" s="1259"/>
      <c r="I363" s="1259"/>
      <c r="J363" s="1259"/>
      <c r="K363" s="1259"/>
      <c r="L363" s="1259"/>
      <c r="M363" s="1259"/>
      <c r="N363" s="1259"/>
      <c r="O363" s="1259"/>
      <c r="P363" s="1259"/>
      <c r="Q363" s="1259"/>
      <c r="R363" s="1259"/>
      <c r="S363" s="1259"/>
      <c r="T363" s="1259"/>
      <c r="U363" s="1259"/>
      <c r="V363" s="1259"/>
      <c r="W363" s="1259"/>
      <c r="X363" s="1259"/>
      <c r="Y363" s="1259"/>
      <c r="Z363" s="1259"/>
    </row>
    <row r="364" spans="1:26" ht="15.75" customHeight="1">
      <c r="A364" s="1259"/>
      <c r="B364" s="1259"/>
      <c r="C364" s="1259"/>
      <c r="D364" s="1259"/>
      <c r="E364" s="1259"/>
      <c r="F364" s="1259"/>
      <c r="G364" s="1259"/>
      <c r="H364" s="1259"/>
      <c r="I364" s="1259"/>
      <c r="J364" s="1259"/>
      <c r="K364" s="1259"/>
      <c r="L364" s="1259"/>
      <c r="M364" s="1259"/>
      <c r="N364" s="1259"/>
      <c r="O364" s="1259"/>
      <c r="P364" s="1259"/>
      <c r="Q364" s="1259"/>
      <c r="R364" s="1259"/>
      <c r="S364" s="1259"/>
      <c r="T364" s="1259"/>
      <c r="U364" s="1259"/>
      <c r="V364" s="1259"/>
      <c r="W364" s="1259"/>
      <c r="X364" s="1259"/>
      <c r="Y364" s="1259"/>
      <c r="Z364" s="1259"/>
    </row>
    <row r="365" spans="1:26" ht="15.75" customHeight="1">
      <c r="A365" s="1259"/>
      <c r="B365" s="1259"/>
      <c r="C365" s="1259"/>
      <c r="D365" s="1259"/>
      <c r="E365" s="1259"/>
      <c r="F365" s="1259"/>
      <c r="G365" s="1259"/>
      <c r="H365" s="1259"/>
      <c r="I365" s="1259"/>
      <c r="J365" s="1259"/>
      <c r="K365" s="1259"/>
      <c r="L365" s="1259"/>
      <c r="M365" s="1259"/>
      <c r="N365" s="1259"/>
      <c r="O365" s="1259"/>
      <c r="P365" s="1259"/>
      <c r="Q365" s="1259"/>
      <c r="R365" s="1259"/>
      <c r="S365" s="1259"/>
      <c r="T365" s="1259"/>
      <c r="U365" s="1259"/>
      <c r="V365" s="1259"/>
      <c r="W365" s="1259"/>
      <c r="X365" s="1259"/>
      <c r="Y365" s="1259"/>
      <c r="Z365" s="1259"/>
    </row>
    <row r="366" spans="1:26" ht="15.75" customHeight="1">
      <c r="A366" s="1259"/>
      <c r="B366" s="1259"/>
      <c r="C366" s="1259"/>
      <c r="D366" s="1259"/>
      <c r="E366" s="1259"/>
      <c r="F366" s="1259"/>
      <c r="G366" s="1259"/>
      <c r="H366" s="1259"/>
      <c r="I366" s="1259"/>
      <c r="J366" s="1259"/>
      <c r="K366" s="1259"/>
      <c r="L366" s="1259"/>
      <c r="M366" s="1259"/>
      <c r="N366" s="1259"/>
      <c r="O366" s="1259"/>
      <c r="P366" s="1259"/>
      <c r="Q366" s="1259"/>
      <c r="R366" s="1259"/>
      <c r="S366" s="1259"/>
      <c r="T366" s="1259"/>
      <c r="U366" s="1259"/>
      <c r="V366" s="1259"/>
      <c r="W366" s="1259"/>
      <c r="X366" s="1259"/>
      <c r="Y366" s="1259"/>
      <c r="Z366" s="1259"/>
    </row>
    <row r="367" spans="1:26" ht="15.75" customHeight="1">
      <c r="A367" s="1259"/>
      <c r="B367" s="1259"/>
      <c r="C367" s="1259"/>
      <c r="D367" s="1259"/>
      <c r="E367" s="1259"/>
      <c r="F367" s="1259"/>
      <c r="G367" s="1259"/>
      <c r="H367" s="1259"/>
      <c r="I367" s="1259"/>
      <c r="J367" s="1259"/>
      <c r="K367" s="1259"/>
      <c r="L367" s="1259"/>
      <c r="M367" s="1259"/>
      <c r="N367" s="1259"/>
      <c r="O367" s="1259"/>
      <c r="P367" s="1259"/>
      <c r="Q367" s="1259"/>
      <c r="R367" s="1259"/>
      <c r="S367" s="1259"/>
      <c r="T367" s="1259"/>
      <c r="U367" s="1259"/>
      <c r="V367" s="1259"/>
      <c r="W367" s="1259"/>
      <c r="X367" s="1259"/>
      <c r="Y367" s="1259"/>
      <c r="Z367" s="1259"/>
    </row>
    <row r="368" spans="1:26" ht="15.75" customHeight="1">
      <c r="A368" s="1259"/>
      <c r="B368" s="1259"/>
      <c r="C368" s="1259"/>
      <c r="D368" s="1259"/>
      <c r="E368" s="1259"/>
      <c r="F368" s="1259"/>
      <c r="G368" s="1259"/>
      <c r="H368" s="1259"/>
      <c r="I368" s="1259"/>
      <c r="J368" s="1259"/>
      <c r="K368" s="1259"/>
      <c r="L368" s="1259"/>
      <c r="M368" s="1259"/>
      <c r="N368" s="1259"/>
      <c r="O368" s="1259"/>
      <c r="P368" s="1259"/>
      <c r="Q368" s="1259"/>
      <c r="R368" s="1259"/>
      <c r="S368" s="1259"/>
      <c r="T368" s="1259"/>
      <c r="U368" s="1259"/>
      <c r="V368" s="1259"/>
      <c r="W368" s="1259"/>
      <c r="X368" s="1259"/>
      <c r="Y368" s="1259"/>
      <c r="Z368" s="1259"/>
    </row>
    <row r="369" spans="1:26" ht="15.75" customHeight="1">
      <c r="A369" s="1259"/>
      <c r="B369" s="1259"/>
      <c r="C369" s="1259"/>
      <c r="D369" s="1259"/>
      <c r="E369" s="1259"/>
      <c r="F369" s="1259"/>
      <c r="G369" s="1259"/>
      <c r="H369" s="1259"/>
      <c r="I369" s="1259"/>
      <c r="J369" s="1259"/>
      <c r="K369" s="1259"/>
      <c r="L369" s="1259"/>
      <c r="M369" s="1259"/>
      <c r="N369" s="1259"/>
      <c r="O369" s="1259"/>
      <c r="P369" s="1259"/>
      <c r="Q369" s="1259"/>
      <c r="R369" s="1259"/>
      <c r="S369" s="1259"/>
      <c r="T369" s="1259"/>
      <c r="U369" s="1259"/>
      <c r="V369" s="1259"/>
      <c r="W369" s="1259"/>
      <c r="X369" s="1259"/>
      <c r="Y369" s="1259"/>
      <c r="Z369" s="1259"/>
    </row>
    <row r="370" spans="1:26" ht="15.75" customHeight="1">
      <c r="A370" s="1259"/>
      <c r="B370" s="1259"/>
      <c r="C370" s="1259"/>
      <c r="D370" s="1259"/>
      <c r="E370" s="1259"/>
      <c r="F370" s="1259"/>
      <c r="G370" s="1259"/>
      <c r="H370" s="1259"/>
      <c r="I370" s="1259"/>
      <c r="J370" s="1259"/>
      <c r="K370" s="1259"/>
      <c r="L370" s="1259"/>
      <c r="M370" s="1259"/>
      <c r="N370" s="1259"/>
      <c r="O370" s="1259"/>
      <c r="P370" s="1259"/>
      <c r="Q370" s="1259"/>
      <c r="R370" s="1259"/>
      <c r="S370" s="1259"/>
      <c r="T370" s="1259"/>
      <c r="U370" s="1259"/>
      <c r="V370" s="1259"/>
      <c r="W370" s="1259"/>
      <c r="X370" s="1259"/>
      <c r="Y370" s="1259"/>
      <c r="Z370" s="1259"/>
    </row>
    <row r="371" spans="1:26" ht="15.75" customHeight="1">
      <c r="A371" s="1259"/>
      <c r="B371" s="1259"/>
      <c r="C371" s="1259"/>
      <c r="D371" s="1259"/>
      <c r="E371" s="1259"/>
      <c r="F371" s="1259"/>
      <c r="G371" s="1259"/>
      <c r="H371" s="1259"/>
      <c r="I371" s="1259"/>
      <c r="J371" s="1259"/>
      <c r="K371" s="1259"/>
      <c r="L371" s="1259"/>
      <c r="M371" s="1259"/>
      <c r="N371" s="1259"/>
      <c r="O371" s="1259"/>
      <c r="P371" s="1259"/>
      <c r="Q371" s="1259"/>
      <c r="R371" s="1259"/>
      <c r="S371" s="1259"/>
      <c r="T371" s="1259"/>
      <c r="U371" s="1259"/>
      <c r="V371" s="1259"/>
      <c r="W371" s="1259"/>
      <c r="X371" s="1259"/>
      <c r="Y371" s="1259"/>
      <c r="Z371" s="1259"/>
    </row>
    <row r="372" spans="1:26" ht="15.75" customHeight="1">
      <c r="A372" s="1259"/>
      <c r="B372" s="1259"/>
      <c r="C372" s="1259"/>
      <c r="D372" s="1259"/>
      <c r="E372" s="1259"/>
      <c r="F372" s="1259"/>
      <c r="G372" s="1259"/>
      <c r="H372" s="1259"/>
      <c r="I372" s="1259"/>
      <c r="J372" s="1259"/>
      <c r="K372" s="1259"/>
      <c r="L372" s="1259"/>
      <c r="M372" s="1259"/>
      <c r="N372" s="1259"/>
      <c r="O372" s="1259"/>
      <c r="P372" s="1259"/>
      <c r="Q372" s="1259"/>
      <c r="R372" s="1259"/>
      <c r="S372" s="1259"/>
      <c r="T372" s="1259"/>
      <c r="U372" s="1259"/>
      <c r="V372" s="1259"/>
      <c r="W372" s="1259"/>
      <c r="X372" s="1259"/>
      <c r="Y372" s="1259"/>
      <c r="Z372" s="1259"/>
    </row>
    <row r="373" spans="1:26" ht="15.75" customHeight="1">
      <c r="A373" s="1259"/>
      <c r="B373" s="1259"/>
      <c r="C373" s="1259"/>
      <c r="D373" s="1259"/>
      <c r="E373" s="1259"/>
      <c r="F373" s="1259"/>
      <c r="G373" s="1259"/>
      <c r="H373" s="1259"/>
      <c r="I373" s="1259"/>
      <c r="J373" s="1259"/>
      <c r="K373" s="1259"/>
      <c r="L373" s="1259"/>
      <c r="M373" s="1259"/>
      <c r="N373" s="1259"/>
      <c r="O373" s="1259"/>
      <c r="P373" s="1259"/>
      <c r="Q373" s="1259"/>
      <c r="R373" s="1259"/>
      <c r="S373" s="1259"/>
      <c r="T373" s="1259"/>
      <c r="U373" s="1259"/>
      <c r="V373" s="1259"/>
      <c r="W373" s="1259"/>
      <c r="X373" s="1259"/>
      <c r="Y373" s="1259"/>
      <c r="Z373" s="1259"/>
    </row>
    <row r="374" spans="1:26" ht="15.75" customHeight="1">
      <c r="A374" s="1259"/>
      <c r="B374" s="1259"/>
      <c r="C374" s="1259"/>
      <c r="D374" s="1259"/>
      <c r="E374" s="1259"/>
      <c r="F374" s="1259"/>
      <c r="G374" s="1259"/>
      <c r="H374" s="1259"/>
      <c r="I374" s="1259"/>
      <c r="J374" s="1259"/>
      <c r="K374" s="1259"/>
      <c r="L374" s="1259"/>
      <c r="M374" s="1259"/>
      <c r="N374" s="1259"/>
      <c r="O374" s="1259"/>
      <c r="P374" s="1259"/>
      <c r="Q374" s="1259"/>
      <c r="R374" s="1259"/>
      <c r="S374" s="1259"/>
      <c r="T374" s="1259"/>
      <c r="U374" s="1259"/>
      <c r="V374" s="1259"/>
      <c r="W374" s="1259"/>
      <c r="X374" s="1259"/>
      <c r="Y374" s="1259"/>
      <c r="Z374" s="1259"/>
    </row>
    <row r="375" spans="1:26" ht="15.75" customHeight="1">
      <c r="A375" s="1259"/>
      <c r="B375" s="1259"/>
      <c r="C375" s="1259"/>
      <c r="D375" s="1259"/>
      <c r="E375" s="1259"/>
      <c r="F375" s="1259"/>
      <c r="G375" s="1259"/>
      <c r="H375" s="1259"/>
      <c r="I375" s="1259"/>
      <c r="J375" s="1259"/>
      <c r="K375" s="1259"/>
      <c r="L375" s="1259"/>
      <c r="M375" s="1259"/>
      <c r="N375" s="1259"/>
      <c r="O375" s="1259"/>
      <c r="P375" s="1259"/>
      <c r="Q375" s="1259"/>
      <c r="R375" s="1259"/>
      <c r="S375" s="1259"/>
      <c r="T375" s="1259"/>
      <c r="U375" s="1259"/>
      <c r="V375" s="1259"/>
      <c r="W375" s="1259"/>
      <c r="X375" s="1259"/>
      <c r="Y375" s="1259"/>
      <c r="Z375" s="1259"/>
    </row>
    <row r="376" spans="1:26" ht="15.75" customHeight="1">
      <c r="A376" s="1259"/>
      <c r="B376" s="1259"/>
      <c r="C376" s="1259"/>
      <c r="D376" s="1259"/>
      <c r="E376" s="1259"/>
      <c r="F376" s="1259"/>
      <c r="G376" s="1259"/>
      <c r="H376" s="1259"/>
      <c r="I376" s="1259"/>
      <c r="J376" s="1259"/>
      <c r="K376" s="1259"/>
      <c r="L376" s="1259"/>
      <c r="M376" s="1259"/>
      <c r="N376" s="1259"/>
      <c r="O376" s="1259"/>
      <c r="P376" s="1259"/>
      <c r="Q376" s="1259"/>
      <c r="R376" s="1259"/>
      <c r="S376" s="1259"/>
      <c r="T376" s="1259"/>
      <c r="U376" s="1259"/>
      <c r="V376" s="1259"/>
      <c r="W376" s="1259"/>
      <c r="X376" s="1259"/>
      <c r="Y376" s="1259"/>
      <c r="Z376" s="1259"/>
    </row>
    <row r="377" spans="1:26" ht="15.75" customHeight="1">
      <c r="A377" s="1259"/>
      <c r="B377" s="1259"/>
      <c r="C377" s="1259"/>
      <c r="D377" s="1259"/>
      <c r="E377" s="1259"/>
      <c r="F377" s="1259"/>
      <c r="G377" s="1259"/>
      <c r="H377" s="1259"/>
      <c r="I377" s="1259"/>
      <c r="J377" s="1259"/>
      <c r="K377" s="1259"/>
      <c r="L377" s="1259"/>
      <c r="M377" s="1259"/>
      <c r="N377" s="1259"/>
      <c r="O377" s="1259"/>
      <c r="P377" s="1259"/>
      <c r="Q377" s="1259"/>
      <c r="R377" s="1259"/>
      <c r="S377" s="1259"/>
      <c r="T377" s="1259"/>
      <c r="U377" s="1259"/>
      <c r="V377" s="1259"/>
      <c r="W377" s="1259"/>
      <c r="X377" s="1259"/>
      <c r="Y377" s="1259"/>
      <c r="Z377" s="1259"/>
    </row>
    <row r="378" spans="1:26" ht="15.75" customHeight="1">
      <c r="A378" s="1259"/>
      <c r="B378" s="1259"/>
      <c r="C378" s="1259"/>
      <c r="D378" s="1259"/>
      <c r="E378" s="1259"/>
      <c r="F378" s="1259"/>
      <c r="G378" s="1259"/>
      <c r="H378" s="1259"/>
      <c r="I378" s="1259"/>
      <c r="J378" s="1259"/>
      <c r="K378" s="1259"/>
      <c r="L378" s="1259"/>
      <c r="M378" s="1259"/>
      <c r="N378" s="1259"/>
      <c r="O378" s="1259"/>
      <c r="P378" s="1259"/>
      <c r="Q378" s="1259"/>
      <c r="R378" s="1259"/>
      <c r="S378" s="1259"/>
      <c r="T378" s="1259"/>
      <c r="U378" s="1259"/>
      <c r="V378" s="1259"/>
      <c r="W378" s="1259"/>
      <c r="X378" s="1259"/>
      <c r="Y378" s="1259"/>
      <c r="Z378" s="1259"/>
    </row>
    <row r="379" spans="1:26" ht="15.75" customHeight="1">
      <c r="A379" s="1259"/>
      <c r="B379" s="1259"/>
      <c r="C379" s="1259"/>
      <c r="D379" s="1259"/>
      <c r="E379" s="1259"/>
      <c r="F379" s="1259"/>
      <c r="G379" s="1259"/>
      <c r="H379" s="1259"/>
      <c r="I379" s="1259"/>
      <c r="J379" s="1259"/>
      <c r="K379" s="1259"/>
      <c r="L379" s="1259"/>
      <c r="M379" s="1259"/>
      <c r="N379" s="1259"/>
      <c r="O379" s="1259"/>
      <c r="P379" s="1259"/>
      <c r="Q379" s="1259"/>
      <c r="R379" s="1259"/>
      <c r="S379" s="1259"/>
      <c r="T379" s="1259"/>
      <c r="U379" s="1259"/>
      <c r="V379" s="1259"/>
      <c r="W379" s="1259"/>
      <c r="X379" s="1259"/>
      <c r="Y379" s="1259"/>
      <c r="Z379" s="1259"/>
    </row>
    <row r="380" spans="1:26" ht="15.75" customHeight="1">
      <c r="A380" s="1259"/>
      <c r="B380" s="1259"/>
      <c r="C380" s="1259"/>
      <c r="D380" s="1259"/>
      <c r="E380" s="1259"/>
      <c r="F380" s="1259"/>
      <c r="G380" s="1259"/>
      <c r="H380" s="1259"/>
      <c r="I380" s="1259"/>
      <c r="J380" s="1259"/>
      <c r="K380" s="1259"/>
      <c r="L380" s="1259"/>
      <c r="M380" s="1259"/>
      <c r="N380" s="1259"/>
      <c r="O380" s="1259"/>
      <c r="P380" s="1259"/>
      <c r="Q380" s="1259"/>
      <c r="R380" s="1259"/>
      <c r="S380" s="1259"/>
      <c r="T380" s="1259"/>
      <c r="U380" s="1259"/>
      <c r="V380" s="1259"/>
      <c r="W380" s="1259"/>
      <c r="X380" s="1259"/>
      <c r="Y380" s="1259"/>
      <c r="Z380" s="1259"/>
    </row>
    <row r="381" spans="1:26" ht="15.75" customHeight="1">
      <c r="A381" s="1259"/>
      <c r="B381" s="1259"/>
      <c r="C381" s="1259"/>
      <c r="D381" s="1259"/>
      <c r="E381" s="1259"/>
      <c r="F381" s="1259"/>
      <c r="G381" s="1259"/>
      <c r="H381" s="1259"/>
      <c r="I381" s="1259"/>
      <c r="J381" s="1259"/>
      <c r="K381" s="1259"/>
      <c r="L381" s="1259"/>
      <c r="M381" s="1259"/>
      <c r="N381" s="1259"/>
      <c r="O381" s="1259"/>
      <c r="P381" s="1259"/>
      <c r="Q381" s="1259"/>
      <c r="R381" s="1259"/>
      <c r="S381" s="1259"/>
      <c r="T381" s="1259"/>
      <c r="U381" s="1259"/>
      <c r="V381" s="1259"/>
      <c r="W381" s="1259"/>
      <c r="X381" s="1259"/>
      <c r="Y381" s="1259"/>
      <c r="Z381" s="1259"/>
    </row>
    <row r="382" spans="1:26" ht="15.75" customHeight="1">
      <c r="A382" s="1259"/>
      <c r="B382" s="1259"/>
      <c r="C382" s="1259"/>
      <c r="D382" s="1259"/>
      <c r="E382" s="1259"/>
      <c r="F382" s="1259"/>
      <c r="G382" s="1259"/>
      <c r="H382" s="1259"/>
      <c r="I382" s="1259"/>
      <c r="J382" s="1259"/>
      <c r="K382" s="1259"/>
      <c r="L382" s="1259"/>
      <c r="M382" s="1259"/>
      <c r="N382" s="1259"/>
      <c r="O382" s="1259"/>
      <c r="P382" s="1259"/>
      <c r="Q382" s="1259"/>
      <c r="R382" s="1259"/>
      <c r="S382" s="1259"/>
      <c r="T382" s="1259"/>
      <c r="U382" s="1259"/>
      <c r="V382" s="1259"/>
      <c r="W382" s="1259"/>
      <c r="X382" s="1259"/>
      <c r="Y382" s="1259"/>
      <c r="Z382" s="1259"/>
    </row>
    <row r="383" spans="1:26" ht="15.75" customHeight="1">
      <c r="A383" s="1259"/>
      <c r="B383" s="1259"/>
      <c r="C383" s="1259"/>
      <c r="D383" s="1259"/>
      <c r="E383" s="1259"/>
      <c r="F383" s="1259"/>
      <c r="G383" s="1259"/>
      <c r="H383" s="1259"/>
      <c r="I383" s="1259"/>
      <c r="J383" s="1259"/>
      <c r="K383" s="1259"/>
      <c r="L383" s="1259"/>
      <c r="M383" s="1259"/>
      <c r="N383" s="1259"/>
      <c r="O383" s="1259"/>
      <c r="P383" s="1259"/>
      <c r="Q383" s="1259"/>
      <c r="R383" s="1259"/>
      <c r="S383" s="1259"/>
      <c r="T383" s="1259"/>
      <c r="U383" s="1259"/>
      <c r="V383" s="1259"/>
      <c r="W383" s="1259"/>
      <c r="X383" s="1259"/>
      <c r="Y383" s="1259"/>
      <c r="Z383" s="1259"/>
    </row>
    <row r="384" spans="1:26" ht="15.75" customHeight="1">
      <c r="A384" s="1259"/>
      <c r="B384" s="1259"/>
      <c r="C384" s="1259"/>
      <c r="D384" s="1259"/>
      <c r="E384" s="1259"/>
      <c r="F384" s="1259"/>
      <c r="G384" s="1259"/>
      <c r="H384" s="1259"/>
      <c r="I384" s="1259"/>
      <c r="J384" s="1259"/>
      <c r="K384" s="1259"/>
      <c r="L384" s="1259"/>
      <c r="M384" s="1259"/>
      <c r="N384" s="1259"/>
      <c r="O384" s="1259"/>
      <c r="P384" s="1259"/>
      <c r="Q384" s="1259"/>
      <c r="R384" s="1259"/>
      <c r="S384" s="1259"/>
      <c r="T384" s="1259"/>
      <c r="U384" s="1259"/>
      <c r="V384" s="1259"/>
      <c r="W384" s="1259"/>
      <c r="X384" s="1259"/>
      <c r="Y384" s="1259"/>
      <c r="Z384" s="1259"/>
    </row>
    <row r="385" spans="1:26" ht="15.75" customHeight="1">
      <c r="A385" s="1259"/>
      <c r="B385" s="1259"/>
      <c r="C385" s="1259"/>
      <c r="D385" s="1259"/>
      <c r="E385" s="1259"/>
      <c r="F385" s="1259"/>
      <c r="G385" s="1259"/>
      <c r="H385" s="1259"/>
      <c r="I385" s="1259"/>
      <c r="J385" s="1259"/>
      <c r="K385" s="1259"/>
      <c r="L385" s="1259"/>
      <c r="M385" s="1259"/>
      <c r="N385" s="1259"/>
      <c r="O385" s="1259"/>
      <c r="P385" s="1259"/>
      <c r="Q385" s="1259"/>
      <c r="R385" s="1259"/>
      <c r="S385" s="1259"/>
      <c r="T385" s="1259"/>
      <c r="U385" s="1259"/>
      <c r="V385" s="1259"/>
      <c r="W385" s="1259"/>
      <c r="X385" s="1259"/>
      <c r="Y385" s="1259"/>
      <c r="Z385" s="1259"/>
    </row>
    <row r="386" spans="1:26" ht="15.75" customHeight="1">
      <c r="A386" s="1259"/>
      <c r="B386" s="1259"/>
      <c r="C386" s="1259"/>
      <c r="D386" s="1259"/>
      <c r="E386" s="1259"/>
      <c r="F386" s="1259"/>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row>
    <row r="387" spans="1:26" ht="15.75" customHeight="1">
      <c r="A387" s="1259"/>
      <c r="B387" s="1259"/>
      <c r="C387" s="1259"/>
      <c r="D387" s="1259"/>
      <c r="E387" s="1259"/>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row>
    <row r="388" spans="1:26" ht="15.75" customHeight="1">
      <c r="A388" s="1259"/>
      <c r="B388" s="1259"/>
      <c r="C388" s="1259"/>
      <c r="D388" s="1259"/>
      <c r="E388" s="1259"/>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row>
    <row r="389" spans="1:26" ht="15.75" customHeight="1">
      <c r="A389" s="1259"/>
      <c r="B389" s="1259"/>
      <c r="C389" s="1259"/>
      <c r="D389" s="1259"/>
      <c r="E389" s="1259"/>
      <c r="F389" s="1259"/>
      <c r="G389" s="1259"/>
      <c r="H389" s="1259"/>
      <c r="I389" s="1259"/>
      <c r="J389" s="1259"/>
      <c r="K389" s="1259"/>
      <c r="L389" s="1259"/>
      <c r="M389" s="1259"/>
      <c r="N389" s="1259"/>
      <c r="O389" s="1259"/>
      <c r="P389" s="1259"/>
      <c r="Q389" s="1259"/>
      <c r="R389" s="1259"/>
      <c r="S389" s="1259"/>
      <c r="T389" s="1259"/>
      <c r="U389" s="1259"/>
      <c r="V389" s="1259"/>
      <c r="W389" s="1259"/>
      <c r="X389" s="1259"/>
      <c r="Y389" s="1259"/>
      <c r="Z389" s="1259"/>
    </row>
    <row r="390" spans="1:26" ht="15.75" customHeight="1">
      <c r="A390" s="1259"/>
      <c r="B390" s="1259"/>
      <c r="C390" s="1259"/>
      <c r="D390" s="1259"/>
      <c r="E390" s="1259"/>
      <c r="F390" s="1259"/>
      <c r="G390" s="1259"/>
      <c r="H390" s="1259"/>
      <c r="I390" s="1259"/>
      <c r="J390" s="1259"/>
      <c r="K390" s="1259"/>
      <c r="L390" s="1259"/>
      <c r="M390" s="1259"/>
      <c r="N390" s="1259"/>
      <c r="O390" s="1259"/>
      <c r="P390" s="1259"/>
      <c r="Q390" s="1259"/>
      <c r="R390" s="1259"/>
      <c r="S390" s="1259"/>
      <c r="T390" s="1259"/>
      <c r="U390" s="1259"/>
      <c r="V390" s="1259"/>
      <c r="W390" s="1259"/>
      <c r="X390" s="1259"/>
      <c r="Y390" s="1259"/>
      <c r="Z390" s="1259"/>
    </row>
    <row r="391" spans="1:26" ht="15.75" customHeight="1">
      <c r="A391" s="1259"/>
      <c r="B391" s="1259"/>
      <c r="C391" s="1259"/>
      <c r="D391" s="1259"/>
      <c r="E391" s="1259"/>
      <c r="F391" s="1259"/>
      <c r="G391" s="1259"/>
      <c r="H391" s="1259"/>
      <c r="I391" s="1259"/>
      <c r="J391" s="1259"/>
      <c r="K391" s="1259"/>
      <c r="L391" s="1259"/>
      <c r="M391" s="1259"/>
      <c r="N391" s="1259"/>
      <c r="O391" s="1259"/>
      <c r="P391" s="1259"/>
      <c r="Q391" s="1259"/>
      <c r="R391" s="1259"/>
      <c r="S391" s="1259"/>
      <c r="T391" s="1259"/>
      <c r="U391" s="1259"/>
      <c r="V391" s="1259"/>
      <c r="W391" s="1259"/>
      <c r="X391" s="1259"/>
      <c r="Y391" s="1259"/>
      <c r="Z391" s="1259"/>
    </row>
    <row r="392" spans="1:26" ht="15.75" customHeight="1">
      <c r="A392" s="1259"/>
      <c r="B392" s="1259"/>
      <c r="C392" s="1259"/>
      <c r="D392" s="1259"/>
      <c r="E392" s="1259"/>
      <c r="F392" s="1259"/>
      <c r="G392" s="1259"/>
      <c r="H392" s="1259"/>
      <c r="I392" s="1259"/>
      <c r="J392" s="1259"/>
      <c r="K392" s="1259"/>
      <c r="L392" s="1259"/>
      <c r="M392" s="1259"/>
      <c r="N392" s="1259"/>
      <c r="O392" s="1259"/>
      <c r="P392" s="1259"/>
      <c r="Q392" s="1259"/>
      <c r="R392" s="1259"/>
      <c r="S392" s="1259"/>
      <c r="T392" s="1259"/>
      <c r="U392" s="1259"/>
      <c r="V392" s="1259"/>
      <c r="W392" s="1259"/>
      <c r="X392" s="1259"/>
      <c r="Y392" s="1259"/>
      <c r="Z392" s="1259"/>
    </row>
    <row r="393" spans="1:26" ht="15.75" customHeight="1">
      <c r="A393" s="1259"/>
      <c r="B393" s="1259"/>
      <c r="C393" s="1259"/>
      <c r="D393" s="1259"/>
      <c r="E393" s="1259"/>
      <c r="F393" s="1259"/>
      <c r="G393" s="1259"/>
      <c r="H393" s="1259"/>
      <c r="I393" s="1259"/>
      <c r="J393" s="1259"/>
      <c r="K393" s="1259"/>
      <c r="L393" s="1259"/>
      <c r="M393" s="1259"/>
      <c r="N393" s="1259"/>
      <c r="O393" s="1259"/>
      <c r="P393" s="1259"/>
      <c r="Q393" s="1259"/>
      <c r="R393" s="1259"/>
      <c r="S393" s="1259"/>
      <c r="T393" s="1259"/>
      <c r="U393" s="1259"/>
      <c r="V393" s="1259"/>
      <c r="W393" s="1259"/>
      <c r="X393" s="1259"/>
      <c r="Y393" s="1259"/>
      <c r="Z393" s="1259"/>
    </row>
    <row r="394" spans="1:26" ht="15.75" customHeight="1">
      <c r="A394" s="1259"/>
      <c r="B394" s="1259"/>
      <c r="C394" s="1259"/>
      <c r="D394" s="1259"/>
      <c r="E394" s="1259"/>
      <c r="F394" s="1259"/>
      <c r="G394" s="1259"/>
      <c r="H394" s="1259"/>
      <c r="I394" s="1259"/>
      <c r="J394" s="1259"/>
      <c r="K394" s="1259"/>
      <c r="L394" s="1259"/>
      <c r="M394" s="1259"/>
      <c r="N394" s="1259"/>
      <c r="O394" s="1259"/>
      <c r="P394" s="1259"/>
      <c r="Q394" s="1259"/>
      <c r="R394" s="1259"/>
      <c r="S394" s="1259"/>
      <c r="T394" s="1259"/>
      <c r="U394" s="1259"/>
      <c r="V394" s="1259"/>
      <c r="W394" s="1259"/>
      <c r="X394" s="1259"/>
      <c r="Y394" s="1259"/>
      <c r="Z394" s="1259"/>
    </row>
    <row r="395" spans="1:26" ht="15.75" customHeight="1">
      <c r="A395" s="1259"/>
      <c r="B395" s="1259"/>
      <c r="C395" s="1259"/>
      <c r="D395" s="1259"/>
      <c r="E395" s="1259"/>
      <c r="F395" s="1259"/>
      <c r="G395" s="1259"/>
      <c r="H395" s="1259"/>
      <c r="I395" s="1259"/>
      <c r="J395" s="1259"/>
      <c r="K395" s="1259"/>
      <c r="L395" s="1259"/>
      <c r="M395" s="1259"/>
      <c r="N395" s="1259"/>
      <c r="O395" s="1259"/>
      <c r="P395" s="1259"/>
      <c r="Q395" s="1259"/>
      <c r="R395" s="1259"/>
      <c r="S395" s="1259"/>
      <c r="T395" s="1259"/>
      <c r="U395" s="1259"/>
      <c r="V395" s="1259"/>
      <c r="W395" s="1259"/>
      <c r="X395" s="1259"/>
      <c r="Y395" s="1259"/>
      <c r="Z395" s="1259"/>
    </row>
    <row r="396" spans="1:26" ht="15.75" customHeight="1">
      <c r="A396" s="1259"/>
      <c r="B396" s="1259"/>
      <c r="C396" s="1259"/>
      <c r="D396" s="1259"/>
      <c r="E396" s="1259"/>
      <c r="F396" s="1259"/>
      <c r="G396" s="1259"/>
      <c r="H396" s="1259"/>
      <c r="I396" s="1259"/>
      <c r="J396" s="1259"/>
      <c r="K396" s="1259"/>
      <c r="L396" s="1259"/>
      <c r="M396" s="1259"/>
      <c r="N396" s="1259"/>
      <c r="O396" s="1259"/>
      <c r="P396" s="1259"/>
      <c r="Q396" s="1259"/>
      <c r="R396" s="1259"/>
      <c r="S396" s="1259"/>
      <c r="T396" s="1259"/>
      <c r="U396" s="1259"/>
      <c r="V396" s="1259"/>
      <c r="W396" s="1259"/>
      <c r="X396" s="1259"/>
      <c r="Y396" s="1259"/>
      <c r="Z396" s="1259"/>
    </row>
    <row r="397" spans="1:26" ht="15.75" customHeight="1">
      <c r="A397" s="1259"/>
      <c r="B397" s="1259"/>
      <c r="C397" s="1259"/>
      <c r="D397" s="1259"/>
      <c r="E397" s="1259"/>
      <c r="F397" s="1259"/>
      <c r="G397" s="1259"/>
      <c r="H397" s="1259"/>
      <c r="I397" s="1259"/>
      <c r="J397" s="1259"/>
      <c r="K397" s="1259"/>
      <c r="L397" s="1259"/>
      <c r="M397" s="1259"/>
      <c r="N397" s="1259"/>
      <c r="O397" s="1259"/>
      <c r="P397" s="1259"/>
      <c r="Q397" s="1259"/>
      <c r="R397" s="1259"/>
      <c r="S397" s="1259"/>
      <c r="T397" s="1259"/>
      <c r="U397" s="1259"/>
      <c r="V397" s="1259"/>
      <c r="W397" s="1259"/>
      <c r="X397" s="1259"/>
      <c r="Y397" s="1259"/>
      <c r="Z397" s="1259"/>
    </row>
    <row r="398" spans="1:26" ht="15.75" customHeight="1">
      <c r="A398" s="1259"/>
      <c r="B398" s="1259"/>
      <c r="C398" s="1259"/>
      <c r="D398" s="1259"/>
      <c r="E398" s="1259"/>
      <c r="F398" s="1259"/>
      <c r="G398" s="1259"/>
      <c r="H398" s="1259"/>
      <c r="I398" s="1259"/>
      <c r="J398" s="1259"/>
      <c r="K398" s="1259"/>
      <c r="L398" s="1259"/>
      <c r="M398" s="1259"/>
      <c r="N398" s="1259"/>
      <c r="O398" s="1259"/>
      <c r="P398" s="1259"/>
      <c r="Q398" s="1259"/>
      <c r="R398" s="1259"/>
      <c r="S398" s="1259"/>
      <c r="T398" s="1259"/>
      <c r="U398" s="1259"/>
      <c r="V398" s="1259"/>
      <c r="W398" s="1259"/>
      <c r="X398" s="1259"/>
      <c r="Y398" s="1259"/>
      <c r="Z398" s="1259"/>
    </row>
    <row r="399" spans="1:26" ht="15.75" customHeight="1">
      <c r="A399" s="1259"/>
      <c r="B399" s="1259"/>
      <c r="C399" s="1259"/>
      <c r="D399" s="1259"/>
      <c r="E399" s="1259"/>
      <c r="F399" s="1259"/>
      <c r="G399" s="1259"/>
      <c r="H399" s="1259"/>
      <c r="I399" s="1259"/>
      <c r="J399" s="1259"/>
      <c r="K399" s="1259"/>
      <c r="L399" s="1259"/>
      <c r="M399" s="1259"/>
      <c r="N399" s="1259"/>
      <c r="O399" s="1259"/>
      <c r="P399" s="1259"/>
      <c r="Q399" s="1259"/>
      <c r="R399" s="1259"/>
      <c r="S399" s="1259"/>
      <c r="T399" s="1259"/>
      <c r="U399" s="1259"/>
      <c r="V399" s="1259"/>
      <c r="W399" s="1259"/>
      <c r="X399" s="1259"/>
      <c r="Y399" s="1259"/>
      <c r="Z399" s="1259"/>
    </row>
    <row r="400" spans="1:26" ht="15.75" customHeight="1">
      <c r="A400" s="1259"/>
      <c r="B400" s="1259"/>
      <c r="C400" s="1259"/>
      <c r="D400" s="1259"/>
      <c r="E400" s="1259"/>
      <c r="F400" s="1259"/>
      <c r="G400" s="1259"/>
      <c r="H400" s="1259"/>
      <c r="I400" s="1259"/>
      <c r="J400" s="1259"/>
      <c r="K400" s="1259"/>
      <c r="L400" s="1259"/>
      <c r="M400" s="1259"/>
      <c r="N400" s="1259"/>
      <c r="O400" s="1259"/>
      <c r="P400" s="1259"/>
      <c r="Q400" s="1259"/>
      <c r="R400" s="1259"/>
      <c r="S400" s="1259"/>
      <c r="T400" s="1259"/>
      <c r="U400" s="1259"/>
      <c r="V400" s="1259"/>
      <c r="W400" s="1259"/>
      <c r="X400" s="1259"/>
      <c r="Y400" s="1259"/>
      <c r="Z400" s="1259"/>
    </row>
    <row r="401" spans="1:26" ht="15.75" customHeight="1">
      <c r="A401" s="1259"/>
      <c r="B401" s="1259"/>
      <c r="C401" s="1259"/>
      <c r="D401" s="1259"/>
      <c r="E401" s="1259"/>
      <c r="F401" s="1259"/>
      <c r="G401" s="1259"/>
      <c r="H401" s="1259"/>
      <c r="I401" s="1259"/>
      <c r="J401" s="1259"/>
      <c r="K401" s="1259"/>
      <c r="L401" s="1259"/>
      <c r="M401" s="1259"/>
      <c r="N401" s="1259"/>
      <c r="O401" s="1259"/>
      <c r="P401" s="1259"/>
      <c r="Q401" s="1259"/>
      <c r="R401" s="1259"/>
      <c r="S401" s="1259"/>
      <c r="T401" s="1259"/>
      <c r="U401" s="1259"/>
      <c r="V401" s="1259"/>
      <c r="W401" s="1259"/>
      <c r="X401" s="1259"/>
      <c r="Y401" s="1259"/>
      <c r="Z401" s="1259"/>
    </row>
    <row r="402" spans="1:26" ht="15.75" customHeight="1">
      <c r="A402" s="1259"/>
      <c r="B402" s="1259"/>
      <c r="C402" s="1259"/>
      <c r="D402" s="1259"/>
      <c r="E402" s="1259"/>
      <c r="F402" s="1259"/>
      <c r="G402" s="1259"/>
      <c r="H402" s="1259"/>
      <c r="I402" s="1259"/>
      <c r="J402" s="1259"/>
      <c r="K402" s="1259"/>
      <c r="L402" s="1259"/>
      <c r="M402" s="1259"/>
      <c r="N402" s="1259"/>
      <c r="O402" s="1259"/>
      <c r="P402" s="1259"/>
      <c r="Q402" s="1259"/>
      <c r="R402" s="1259"/>
      <c r="S402" s="1259"/>
      <c r="T402" s="1259"/>
      <c r="U402" s="1259"/>
      <c r="V402" s="1259"/>
      <c r="W402" s="1259"/>
      <c r="X402" s="1259"/>
      <c r="Y402" s="1259"/>
      <c r="Z402" s="1259"/>
    </row>
    <row r="403" spans="1:26" ht="15.75" customHeight="1">
      <c r="A403" s="1259"/>
      <c r="B403" s="1259"/>
      <c r="C403" s="1259"/>
      <c r="D403" s="1259"/>
      <c r="E403" s="1259"/>
      <c r="F403" s="1259"/>
      <c r="G403" s="1259"/>
      <c r="H403" s="1259"/>
      <c r="I403" s="1259"/>
      <c r="J403" s="1259"/>
      <c r="K403" s="1259"/>
      <c r="L403" s="1259"/>
      <c r="M403" s="1259"/>
      <c r="N403" s="1259"/>
      <c r="O403" s="1259"/>
      <c r="P403" s="1259"/>
      <c r="Q403" s="1259"/>
      <c r="R403" s="1259"/>
      <c r="S403" s="1259"/>
      <c r="T403" s="1259"/>
      <c r="U403" s="1259"/>
      <c r="V403" s="1259"/>
      <c r="W403" s="1259"/>
      <c r="X403" s="1259"/>
      <c r="Y403" s="1259"/>
      <c r="Z403" s="1259"/>
    </row>
    <row r="404" spans="1:26" ht="15.75" customHeight="1">
      <c r="A404" s="1259"/>
      <c r="B404" s="1259"/>
      <c r="C404" s="1259"/>
      <c r="D404" s="1259"/>
      <c r="E404" s="1259"/>
      <c r="F404" s="1259"/>
      <c r="G404" s="1259"/>
      <c r="H404" s="1259"/>
      <c r="I404" s="1259"/>
      <c r="J404" s="1259"/>
      <c r="K404" s="1259"/>
      <c r="L404" s="1259"/>
      <c r="M404" s="1259"/>
      <c r="N404" s="1259"/>
      <c r="O404" s="1259"/>
      <c r="P404" s="1259"/>
      <c r="Q404" s="1259"/>
      <c r="R404" s="1259"/>
      <c r="S404" s="1259"/>
      <c r="T404" s="1259"/>
      <c r="U404" s="1259"/>
      <c r="V404" s="1259"/>
      <c r="W404" s="1259"/>
      <c r="X404" s="1259"/>
      <c r="Y404" s="1259"/>
      <c r="Z404" s="1259"/>
    </row>
    <row r="405" spans="1:26" ht="15.75" customHeight="1">
      <c r="A405" s="1259"/>
      <c r="B405" s="1259"/>
      <c r="C405" s="1259"/>
      <c r="D405" s="1259"/>
      <c r="E405" s="1259"/>
      <c r="F405" s="1259"/>
      <c r="G405" s="1259"/>
      <c r="H405" s="1259"/>
      <c r="I405" s="1259"/>
      <c r="J405" s="1259"/>
      <c r="K405" s="1259"/>
      <c r="L405" s="1259"/>
      <c r="M405" s="1259"/>
      <c r="N405" s="1259"/>
      <c r="O405" s="1259"/>
      <c r="P405" s="1259"/>
      <c r="Q405" s="1259"/>
      <c r="R405" s="1259"/>
      <c r="S405" s="1259"/>
      <c r="T405" s="1259"/>
      <c r="U405" s="1259"/>
      <c r="V405" s="1259"/>
      <c r="W405" s="1259"/>
      <c r="X405" s="1259"/>
      <c r="Y405" s="1259"/>
      <c r="Z405" s="1259"/>
    </row>
    <row r="406" spans="1:26" ht="15.75" customHeight="1">
      <c r="A406" s="1259"/>
      <c r="B406" s="1259"/>
      <c r="C406" s="1259"/>
      <c r="D406" s="1259"/>
      <c r="E406" s="1259"/>
      <c r="F406" s="1259"/>
      <c r="G406" s="1259"/>
      <c r="H406" s="1259"/>
      <c r="I406" s="1259"/>
      <c r="J406" s="1259"/>
      <c r="K406" s="1259"/>
      <c r="L406" s="1259"/>
      <c r="M406" s="1259"/>
      <c r="N406" s="1259"/>
      <c r="O406" s="1259"/>
      <c r="P406" s="1259"/>
      <c r="Q406" s="1259"/>
      <c r="R406" s="1259"/>
      <c r="S406" s="1259"/>
      <c r="T406" s="1259"/>
      <c r="U406" s="1259"/>
      <c r="V406" s="1259"/>
      <c r="W406" s="1259"/>
      <c r="X406" s="1259"/>
      <c r="Y406" s="1259"/>
      <c r="Z406" s="1259"/>
    </row>
    <row r="407" spans="1:26" ht="15.75" customHeight="1">
      <c r="A407" s="1259"/>
      <c r="B407" s="1259"/>
      <c r="C407" s="1259"/>
      <c r="D407" s="1259"/>
      <c r="E407" s="1259"/>
      <c r="F407" s="1259"/>
      <c r="G407" s="1259"/>
      <c r="H407" s="1259"/>
      <c r="I407" s="1259"/>
      <c r="J407" s="1259"/>
      <c r="K407" s="1259"/>
      <c r="L407" s="1259"/>
      <c r="M407" s="1259"/>
      <c r="N407" s="1259"/>
      <c r="O407" s="1259"/>
      <c r="P407" s="1259"/>
      <c r="Q407" s="1259"/>
      <c r="R407" s="1259"/>
      <c r="S407" s="1259"/>
      <c r="T407" s="1259"/>
      <c r="U407" s="1259"/>
      <c r="V407" s="1259"/>
      <c r="W407" s="1259"/>
      <c r="X407" s="1259"/>
      <c r="Y407" s="1259"/>
      <c r="Z407" s="1259"/>
    </row>
    <row r="408" spans="1:26" ht="15.75" customHeight="1">
      <c r="A408" s="1259"/>
      <c r="B408" s="1259"/>
      <c r="C408" s="1259"/>
      <c r="D408" s="1259"/>
      <c r="E408" s="1259"/>
      <c r="F408" s="1259"/>
      <c r="G408" s="1259"/>
      <c r="H408" s="1259"/>
      <c r="I408" s="1259"/>
      <c r="J408" s="1259"/>
      <c r="K408" s="1259"/>
      <c r="L408" s="1259"/>
      <c r="M408" s="1259"/>
      <c r="N408" s="1259"/>
      <c r="O408" s="1259"/>
      <c r="P408" s="1259"/>
      <c r="Q408" s="1259"/>
      <c r="R408" s="1259"/>
      <c r="S408" s="1259"/>
      <c r="T408" s="1259"/>
      <c r="U408" s="1259"/>
      <c r="V408" s="1259"/>
      <c r="W408" s="1259"/>
      <c r="X408" s="1259"/>
      <c r="Y408" s="1259"/>
      <c r="Z408" s="1259"/>
    </row>
    <row r="409" spans="1:26" ht="15.75" customHeight="1">
      <c r="A409" s="1259"/>
      <c r="B409" s="1259"/>
      <c r="C409" s="1259"/>
      <c r="D409" s="1259"/>
      <c r="E409" s="1259"/>
      <c r="F409" s="1259"/>
      <c r="G409" s="1259"/>
      <c r="H409" s="1259"/>
      <c r="I409" s="1259"/>
      <c r="J409" s="1259"/>
      <c r="K409" s="1259"/>
      <c r="L409" s="1259"/>
      <c r="M409" s="1259"/>
      <c r="N409" s="1259"/>
      <c r="O409" s="1259"/>
      <c r="P409" s="1259"/>
      <c r="Q409" s="1259"/>
      <c r="R409" s="1259"/>
      <c r="S409" s="1259"/>
      <c r="T409" s="1259"/>
      <c r="U409" s="1259"/>
      <c r="V409" s="1259"/>
      <c r="W409" s="1259"/>
      <c r="X409" s="1259"/>
      <c r="Y409" s="1259"/>
      <c r="Z409" s="1259"/>
    </row>
    <row r="410" spans="1:26" ht="15.75" customHeight="1">
      <c r="A410" s="1259"/>
      <c r="B410" s="1259"/>
      <c r="C410" s="1259"/>
      <c r="D410" s="1259"/>
      <c r="E410" s="1259"/>
      <c r="F410" s="1259"/>
      <c r="G410" s="1259"/>
      <c r="H410" s="1259"/>
      <c r="I410" s="1259"/>
      <c r="J410" s="1259"/>
      <c r="K410" s="1259"/>
      <c r="L410" s="1259"/>
      <c r="M410" s="1259"/>
      <c r="N410" s="1259"/>
      <c r="O410" s="1259"/>
      <c r="P410" s="1259"/>
      <c r="Q410" s="1259"/>
      <c r="R410" s="1259"/>
      <c r="S410" s="1259"/>
      <c r="T410" s="1259"/>
      <c r="U410" s="1259"/>
      <c r="V410" s="1259"/>
      <c r="W410" s="1259"/>
      <c r="X410" s="1259"/>
      <c r="Y410" s="1259"/>
      <c r="Z410" s="1259"/>
    </row>
    <row r="411" spans="1:26" ht="15.75" customHeight="1">
      <c r="A411" s="1259"/>
      <c r="B411" s="1259"/>
      <c r="C411" s="1259"/>
      <c r="D411" s="1259"/>
      <c r="E411" s="1259"/>
      <c r="F411" s="1259"/>
      <c r="G411" s="1259"/>
      <c r="H411" s="1259"/>
      <c r="I411" s="1259"/>
      <c r="J411" s="1259"/>
      <c r="K411" s="1259"/>
      <c r="L411" s="1259"/>
      <c r="M411" s="1259"/>
      <c r="N411" s="1259"/>
      <c r="O411" s="1259"/>
      <c r="P411" s="1259"/>
      <c r="Q411" s="1259"/>
      <c r="R411" s="1259"/>
      <c r="S411" s="1259"/>
      <c r="T411" s="1259"/>
      <c r="U411" s="1259"/>
      <c r="V411" s="1259"/>
      <c r="W411" s="1259"/>
      <c r="X411" s="1259"/>
      <c r="Y411" s="1259"/>
      <c r="Z411" s="1259"/>
    </row>
    <row r="412" spans="1:26" ht="15.75" customHeight="1">
      <c r="A412" s="1259"/>
      <c r="B412" s="1259"/>
      <c r="C412" s="1259"/>
      <c r="D412" s="1259"/>
      <c r="E412" s="1259"/>
      <c r="F412" s="1259"/>
      <c r="G412" s="1259"/>
      <c r="H412" s="1259"/>
      <c r="I412" s="1259"/>
      <c r="J412" s="1259"/>
      <c r="K412" s="1259"/>
      <c r="L412" s="1259"/>
      <c r="M412" s="1259"/>
      <c r="N412" s="1259"/>
      <c r="O412" s="1259"/>
      <c r="P412" s="1259"/>
      <c r="Q412" s="1259"/>
      <c r="R412" s="1259"/>
      <c r="S412" s="1259"/>
      <c r="T412" s="1259"/>
      <c r="U412" s="1259"/>
      <c r="V412" s="1259"/>
      <c r="W412" s="1259"/>
      <c r="X412" s="1259"/>
      <c r="Y412" s="1259"/>
      <c r="Z412" s="1259"/>
    </row>
    <row r="413" spans="1:26" ht="15.75" customHeight="1">
      <c r="A413" s="1259"/>
      <c r="B413" s="1259"/>
      <c r="C413" s="1259"/>
      <c r="D413" s="1259"/>
      <c r="E413" s="1259"/>
      <c r="F413" s="1259"/>
      <c r="G413" s="1259"/>
      <c r="H413" s="1259"/>
      <c r="I413" s="1259"/>
      <c r="J413" s="1259"/>
      <c r="K413" s="1259"/>
      <c r="L413" s="1259"/>
      <c r="M413" s="1259"/>
      <c r="N413" s="1259"/>
      <c r="O413" s="1259"/>
      <c r="P413" s="1259"/>
      <c r="Q413" s="1259"/>
      <c r="R413" s="1259"/>
      <c r="S413" s="1259"/>
      <c r="T413" s="1259"/>
      <c r="U413" s="1259"/>
      <c r="V413" s="1259"/>
      <c r="W413" s="1259"/>
      <c r="X413" s="1259"/>
      <c r="Y413" s="1259"/>
      <c r="Z413" s="1259"/>
    </row>
    <row r="414" spans="1:26" ht="15.75" customHeight="1">
      <c r="A414" s="1259"/>
      <c r="B414" s="1259"/>
      <c r="C414" s="1259"/>
      <c r="D414" s="1259"/>
      <c r="E414" s="1259"/>
      <c r="F414" s="1259"/>
      <c r="G414" s="1259"/>
      <c r="H414" s="1259"/>
      <c r="I414" s="1259"/>
      <c r="J414" s="1259"/>
      <c r="K414" s="1259"/>
      <c r="L414" s="1259"/>
      <c r="M414" s="1259"/>
      <c r="N414" s="1259"/>
      <c r="O414" s="1259"/>
      <c r="P414" s="1259"/>
      <c r="Q414" s="1259"/>
      <c r="R414" s="1259"/>
      <c r="S414" s="1259"/>
      <c r="T414" s="1259"/>
      <c r="U414" s="1259"/>
      <c r="V414" s="1259"/>
      <c r="W414" s="1259"/>
      <c r="X414" s="1259"/>
      <c r="Y414" s="1259"/>
      <c r="Z414" s="1259"/>
    </row>
    <row r="415" spans="1:26" ht="15.75" customHeight="1">
      <c r="A415" s="1259"/>
      <c r="B415" s="1259"/>
      <c r="C415" s="1259"/>
      <c r="D415" s="1259"/>
      <c r="E415" s="1259"/>
      <c r="F415" s="1259"/>
      <c r="G415" s="1259"/>
      <c r="H415" s="1259"/>
      <c r="I415" s="1259"/>
      <c r="J415" s="1259"/>
      <c r="K415" s="1259"/>
      <c r="L415" s="1259"/>
      <c r="M415" s="1259"/>
      <c r="N415" s="1259"/>
      <c r="O415" s="1259"/>
      <c r="P415" s="1259"/>
      <c r="Q415" s="1259"/>
      <c r="R415" s="1259"/>
      <c r="S415" s="1259"/>
      <c r="T415" s="1259"/>
      <c r="U415" s="1259"/>
      <c r="V415" s="1259"/>
      <c r="W415" s="1259"/>
      <c r="X415" s="1259"/>
      <c r="Y415" s="1259"/>
      <c r="Z415" s="1259"/>
    </row>
    <row r="416" spans="1:26" ht="15.75" customHeight="1">
      <c r="A416" s="1259"/>
      <c r="B416" s="1259"/>
      <c r="C416" s="1259"/>
      <c r="D416" s="1259"/>
      <c r="E416" s="1259"/>
      <c r="F416" s="1259"/>
      <c r="G416" s="1259"/>
      <c r="H416" s="1259"/>
      <c r="I416" s="1259"/>
      <c r="J416" s="1259"/>
      <c r="K416" s="1259"/>
      <c r="L416" s="1259"/>
      <c r="M416" s="1259"/>
      <c r="N416" s="1259"/>
      <c r="O416" s="1259"/>
      <c r="P416" s="1259"/>
      <c r="Q416" s="1259"/>
      <c r="R416" s="1259"/>
      <c r="S416" s="1259"/>
      <c r="T416" s="1259"/>
      <c r="U416" s="1259"/>
      <c r="V416" s="1259"/>
      <c r="W416" s="1259"/>
      <c r="X416" s="1259"/>
      <c r="Y416" s="1259"/>
      <c r="Z416" s="1259"/>
    </row>
    <row r="417" spans="1:26" ht="15.75" customHeight="1">
      <c r="A417" s="1259"/>
      <c r="B417" s="1259"/>
      <c r="C417" s="1259"/>
      <c r="D417" s="1259"/>
      <c r="E417" s="1259"/>
      <c r="F417" s="1259"/>
      <c r="G417" s="1259"/>
      <c r="H417" s="1259"/>
      <c r="I417" s="1259"/>
      <c r="J417" s="1259"/>
      <c r="K417" s="1259"/>
      <c r="L417" s="1259"/>
      <c r="M417" s="1259"/>
      <c r="N417" s="1259"/>
      <c r="O417" s="1259"/>
      <c r="P417" s="1259"/>
      <c r="Q417" s="1259"/>
      <c r="R417" s="1259"/>
      <c r="S417" s="1259"/>
      <c r="T417" s="1259"/>
      <c r="U417" s="1259"/>
      <c r="V417" s="1259"/>
      <c r="W417" s="1259"/>
      <c r="X417" s="1259"/>
      <c r="Y417" s="1259"/>
      <c r="Z417" s="1259"/>
    </row>
    <row r="418" spans="1:26" ht="15.75" customHeight="1">
      <c r="A418" s="1259"/>
      <c r="B418" s="1259"/>
      <c r="C418" s="1259"/>
      <c r="D418" s="1259"/>
      <c r="E418" s="1259"/>
      <c r="F418" s="1259"/>
      <c r="G418" s="1259"/>
      <c r="H418" s="1259"/>
      <c r="I418" s="1259"/>
      <c r="J418" s="1259"/>
      <c r="K418" s="1259"/>
      <c r="L418" s="1259"/>
      <c r="M418" s="1259"/>
      <c r="N418" s="1259"/>
      <c r="O418" s="1259"/>
      <c r="P418" s="1259"/>
      <c r="Q418" s="1259"/>
      <c r="R418" s="1259"/>
      <c r="S418" s="1259"/>
      <c r="T418" s="1259"/>
      <c r="U418" s="1259"/>
      <c r="V418" s="1259"/>
      <c r="W418" s="1259"/>
      <c r="X418" s="1259"/>
      <c r="Y418" s="1259"/>
      <c r="Z418" s="1259"/>
    </row>
    <row r="419" spans="1:26" ht="15.75" customHeight="1">
      <c r="A419" s="1259"/>
      <c r="B419" s="1259"/>
      <c r="C419" s="1259"/>
      <c r="D419" s="1259"/>
      <c r="E419" s="1259"/>
      <c r="F419" s="1259"/>
      <c r="G419" s="1259"/>
      <c r="H419" s="1259"/>
      <c r="I419" s="1259"/>
      <c r="J419" s="1259"/>
      <c r="K419" s="1259"/>
      <c r="L419" s="1259"/>
      <c r="M419" s="1259"/>
      <c r="N419" s="1259"/>
      <c r="O419" s="1259"/>
      <c r="P419" s="1259"/>
      <c r="Q419" s="1259"/>
      <c r="R419" s="1259"/>
      <c r="S419" s="1259"/>
      <c r="T419" s="1259"/>
      <c r="U419" s="1259"/>
      <c r="V419" s="1259"/>
      <c r="W419" s="1259"/>
      <c r="X419" s="1259"/>
      <c r="Y419" s="1259"/>
      <c r="Z419" s="1259"/>
    </row>
    <row r="420" spans="1:26" ht="15.75" customHeight="1">
      <c r="A420" s="1259"/>
      <c r="B420" s="1259"/>
      <c r="C420" s="1259"/>
      <c r="D420" s="1259"/>
      <c r="E420" s="1259"/>
      <c r="F420" s="1259"/>
      <c r="G420" s="1259"/>
      <c r="H420" s="1259"/>
      <c r="I420" s="1259"/>
      <c r="J420" s="1259"/>
      <c r="K420" s="1259"/>
      <c r="L420" s="1259"/>
      <c r="M420" s="1259"/>
      <c r="N420" s="1259"/>
      <c r="O420" s="1259"/>
      <c r="P420" s="1259"/>
      <c r="Q420" s="1259"/>
      <c r="R420" s="1259"/>
      <c r="S420" s="1259"/>
      <c r="T420" s="1259"/>
      <c r="U420" s="1259"/>
      <c r="V420" s="1259"/>
      <c r="W420" s="1259"/>
      <c r="X420" s="1259"/>
      <c r="Y420" s="1259"/>
      <c r="Z420" s="1259"/>
    </row>
    <row r="421" spans="1:26" ht="15.75" customHeight="1">
      <c r="A421" s="1259"/>
      <c r="B421" s="1259"/>
      <c r="C421" s="1259"/>
      <c r="D421" s="1259"/>
      <c r="E421" s="1259"/>
      <c r="F421" s="1259"/>
      <c r="G421" s="1259"/>
      <c r="H421" s="1259"/>
      <c r="I421" s="1259"/>
      <c r="J421" s="1259"/>
      <c r="K421" s="1259"/>
      <c r="L421" s="1259"/>
      <c r="M421" s="1259"/>
      <c r="N421" s="1259"/>
      <c r="O421" s="1259"/>
      <c r="P421" s="1259"/>
      <c r="Q421" s="1259"/>
      <c r="R421" s="1259"/>
      <c r="S421" s="1259"/>
      <c r="T421" s="1259"/>
      <c r="U421" s="1259"/>
      <c r="V421" s="1259"/>
      <c r="W421" s="1259"/>
      <c r="X421" s="1259"/>
      <c r="Y421" s="1259"/>
      <c r="Z421" s="1259"/>
    </row>
    <row r="422" spans="1:26" ht="15.75" customHeight="1">
      <c r="A422" s="1259"/>
      <c r="B422" s="1259"/>
      <c r="C422" s="1259"/>
      <c r="D422" s="1259"/>
      <c r="E422" s="1259"/>
      <c r="F422" s="1259"/>
      <c r="G422" s="1259"/>
      <c r="H422" s="1259"/>
      <c r="I422" s="1259"/>
      <c r="J422" s="1259"/>
      <c r="K422" s="1259"/>
      <c r="L422" s="1259"/>
      <c r="M422" s="1259"/>
      <c r="N422" s="1259"/>
      <c r="O422" s="1259"/>
      <c r="P422" s="1259"/>
      <c r="Q422" s="1259"/>
      <c r="R422" s="1259"/>
      <c r="S422" s="1259"/>
      <c r="T422" s="1259"/>
      <c r="U422" s="1259"/>
      <c r="V422" s="1259"/>
      <c r="W422" s="1259"/>
      <c r="X422" s="1259"/>
      <c r="Y422" s="1259"/>
      <c r="Z422" s="1259"/>
    </row>
    <row r="423" spans="1:26" ht="15.75" customHeight="1">
      <c r="A423" s="1259"/>
      <c r="B423" s="1259"/>
      <c r="C423" s="1259"/>
      <c r="D423" s="1259"/>
      <c r="E423" s="1259"/>
      <c r="F423" s="1259"/>
      <c r="G423" s="1259"/>
      <c r="H423" s="1259"/>
      <c r="I423" s="1259"/>
      <c r="J423" s="1259"/>
      <c r="K423" s="1259"/>
      <c r="L423" s="1259"/>
      <c r="M423" s="1259"/>
      <c r="N423" s="1259"/>
      <c r="O423" s="1259"/>
      <c r="P423" s="1259"/>
      <c r="Q423" s="1259"/>
      <c r="R423" s="1259"/>
      <c r="S423" s="1259"/>
      <c r="T423" s="1259"/>
      <c r="U423" s="1259"/>
      <c r="V423" s="1259"/>
      <c r="W423" s="1259"/>
      <c r="X423" s="1259"/>
      <c r="Y423" s="1259"/>
      <c r="Z423" s="1259"/>
    </row>
    <row r="424" spans="1:26" ht="15.75" customHeight="1">
      <c r="A424" s="1259"/>
      <c r="B424" s="1259"/>
      <c r="C424" s="1259"/>
      <c r="D424" s="1259"/>
      <c r="E424" s="1259"/>
      <c r="F424" s="1259"/>
      <c r="G424" s="1259"/>
      <c r="H424" s="1259"/>
      <c r="I424" s="1259"/>
      <c r="J424" s="1259"/>
      <c r="K424" s="1259"/>
      <c r="L424" s="1259"/>
      <c r="M424" s="1259"/>
      <c r="N424" s="1259"/>
      <c r="O424" s="1259"/>
      <c r="P424" s="1259"/>
      <c r="Q424" s="1259"/>
      <c r="R424" s="1259"/>
      <c r="S424" s="1259"/>
      <c r="T424" s="1259"/>
      <c r="U424" s="1259"/>
      <c r="V424" s="1259"/>
      <c r="W424" s="1259"/>
      <c r="X424" s="1259"/>
      <c r="Y424" s="1259"/>
      <c r="Z424" s="1259"/>
    </row>
    <row r="425" spans="1:26" ht="15.75" customHeight="1">
      <c r="A425" s="1259"/>
      <c r="B425" s="1259"/>
      <c r="C425" s="1259"/>
      <c r="D425" s="1259"/>
      <c r="E425" s="1259"/>
      <c r="F425" s="1259"/>
      <c r="G425" s="1259"/>
      <c r="H425" s="1259"/>
      <c r="I425" s="1259"/>
      <c r="J425" s="1259"/>
      <c r="K425" s="1259"/>
      <c r="L425" s="1259"/>
      <c r="M425" s="1259"/>
      <c r="N425" s="1259"/>
      <c r="O425" s="1259"/>
      <c r="P425" s="1259"/>
      <c r="Q425" s="1259"/>
      <c r="R425" s="1259"/>
      <c r="S425" s="1259"/>
      <c r="T425" s="1259"/>
      <c r="U425" s="1259"/>
      <c r="V425" s="1259"/>
      <c r="W425" s="1259"/>
      <c r="X425" s="1259"/>
      <c r="Y425" s="1259"/>
      <c r="Z425" s="1259"/>
    </row>
    <row r="426" spans="1:26" ht="15.75" customHeight="1">
      <c r="A426" s="1259"/>
      <c r="B426" s="1259"/>
      <c r="C426" s="1259"/>
      <c r="D426" s="1259"/>
      <c r="E426" s="1259"/>
      <c r="F426" s="1259"/>
      <c r="G426" s="1259"/>
      <c r="H426" s="1259"/>
      <c r="I426" s="1259"/>
      <c r="J426" s="1259"/>
      <c r="K426" s="1259"/>
      <c r="L426" s="1259"/>
      <c r="M426" s="1259"/>
      <c r="N426" s="1259"/>
      <c r="O426" s="1259"/>
      <c r="P426" s="1259"/>
      <c r="Q426" s="1259"/>
      <c r="R426" s="1259"/>
      <c r="S426" s="1259"/>
      <c r="T426" s="1259"/>
      <c r="U426" s="1259"/>
      <c r="V426" s="1259"/>
      <c r="W426" s="1259"/>
      <c r="X426" s="1259"/>
      <c r="Y426" s="1259"/>
      <c r="Z426" s="1259"/>
    </row>
    <row r="427" spans="1:26" ht="15.75" customHeight="1">
      <c r="A427" s="1259"/>
      <c r="B427" s="1259"/>
      <c r="C427" s="1259"/>
      <c r="D427" s="1259"/>
      <c r="E427" s="1259"/>
      <c r="F427" s="1259"/>
      <c r="G427" s="1259"/>
      <c r="H427" s="1259"/>
      <c r="I427" s="1259"/>
      <c r="J427" s="1259"/>
      <c r="K427" s="1259"/>
      <c r="L427" s="1259"/>
      <c r="M427" s="1259"/>
      <c r="N427" s="1259"/>
      <c r="O427" s="1259"/>
      <c r="P427" s="1259"/>
      <c r="Q427" s="1259"/>
      <c r="R427" s="1259"/>
      <c r="S427" s="1259"/>
      <c r="T427" s="1259"/>
      <c r="U427" s="1259"/>
      <c r="V427" s="1259"/>
      <c r="W427" s="1259"/>
      <c r="X427" s="1259"/>
      <c r="Y427" s="1259"/>
      <c r="Z427" s="1259"/>
    </row>
    <row r="428" spans="1:26" ht="15.75" customHeight="1">
      <c r="A428" s="1259"/>
      <c r="B428" s="1259"/>
      <c r="C428" s="1259"/>
      <c r="D428" s="1259"/>
      <c r="E428" s="1259"/>
      <c r="F428" s="1259"/>
      <c r="G428" s="1259"/>
      <c r="H428" s="1259"/>
      <c r="I428" s="1259"/>
      <c r="J428" s="1259"/>
      <c r="K428" s="1259"/>
      <c r="L428" s="1259"/>
      <c r="M428" s="1259"/>
      <c r="N428" s="1259"/>
      <c r="O428" s="1259"/>
      <c r="P428" s="1259"/>
      <c r="Q428" s="1259"/>
      <c r="R428" s="1259"/>
      <c r="S428" s="1259"/>
      <c r="T428" s="1259"/>
      <c r="U428" s="1259"/>
      <c r="V428" s="1259"/>
      <c r="W428" s="1259"/>
      <c r="X428" s="1259"/>
      <c r="Y428" s="1259"/>
      <c r="Z428" s="1259"/>
    </row>
    <row r="429" spans="1:26" ht="15.75" customHeight="1">
      <c r="A429" s="1259"/>
      <c r="B429" s="1259"/>
      <c r="C429" s="1259"/>
      <c r="D429" s="1259"/>
      <c r="E429" s="1259"/>
      <c r="F429" s="1259"/>
      <c r="G429" s="1259"/>
      <c r="H429" s="1259"/>
      <c r="I429" s="1259"/>
      <c r="J429" s="1259"/>
      <c r="K429" s="1259"/>
      <c r="L429" s="1259"/>
      <c r="M429" s="1259"/>
      <c r="N429" s="1259"/>
      <c r="O429" s="1259"/>
      <c r="P429" s="1259"/>
      <c r="Q429" s="1259"/>
      <c r="R429" s="1259"/>
      <c r="S429" s="1259"/>
      <c r="T429" s="1259"/>
      <c r="U429" s="1259"/>
      <c r="V429" s="1259"/>
      <c r="W429" s="1259"/>
      <c r="X429" s="1259"/>
      <c r="Y429" s="1259"/>
      <c r="Z429" s="1259"/>
    </row>
    <row r="430" spans="1:26" ht="15.75" customHeight="1">
      <c r="A430" s="1259"/>
      <c r="B430" s="1259"/>
      <c r="C430" s="1259"/>
      <c r="D430" s="1259"/>
      <c r="E430" s="1259"/>
      <c r="F430" s="1259"/>
      <c r="G430" s="1259"/>
      <c r="H430" s="1259"/>
      <c r="I430" s="1259"/>
      <c r="J430" s="1259"/>
      <c r="K430" s="1259"/>
      <c r="L430" s="1259"/>
      <c r="M430" s="1259"/>
      <c r="N430" s="1259"/>
      <c r="O430" s="1259"/>
      <c r="P430" s="1259"/>
      <c r="Q430" s="1259"/>
      <c r="R430" s="1259"/>
      <c r="S430" s="1259"/>
      <c r="T430" s="1259"/>
      <c r="U430" s="1259"/>
      <c r="V430" s="1259"/>
      <c r="W430" s="1259"/>
      <c r="X430" s="1259"/>
      <c r="Y430" s="1259"/>
      <c r="Z430" s="1259"/>
    </row>
    <row r="431" spans="1:26" ht="15.75" customHeight="1">
      <c r="A431" s="1259"/>
      <c r="B431" s="1259"/>
      <c r="C431" s="1259"/>
      <c r="D431" s="1259"/>
      <c r="E431" s="1259"/>
      <c r="F431" s="1259"/>
      <c r="G431" s="1259"/>
      <c r="H431" s="1259"/>
      <c r="I431" s="1259"/>
      <c r="J431" s="1259"/>
      <c r="K431" s="1259"/>
      <c r="L431" s="1259"/>
      <c r="M431" s="1259"/>
      <c r="N431" s="1259"/>
      <c r="O431" s="1259"/>
      <c r="P431" s="1259"/>
      <c r="Q431" s="1259"/>
      <c r="R431" s="1259"/>
      <c r="S431" s="1259"/>
      <c r="T431" s="1259"/>
      <c r="U431" s="1259"/>
      <c r="V431" s="1259"/>
      <c r="W431" s="1259"/>
      <c r="X431" s="1259"/>
      <c r="Y431" s="1259"/>
      <c r="Z431" s="1259"/>
    </row>
    <row r="432" spans="1:26" ht="15.75" customHeight="1">
      <c r="A432" s="1259"/>
      <c r="B432" s="1259"/>
      <c r="C432" s="1259"/>
      <c r="D432" s="1259"/>
      <c r="E432" s="1259"/>
      <c r="F432" s="1259"/>
      <c r="G432" s="1259"/>
      <c r="H432" s="1259"/>
      <c r="I432" s="1259"/>
      <c r="J432" s="1259"/>
      <c r="K432" s="1259"/>
      <c r="L432" s="1259"/>
      <c r="M432" s="1259"/>
      <c r="N432" s="1259"/>
      <c r="O432" s="1259"/>
      <c r="P432" s="1259"/>
      <c r="Q432" s="1259"/>
      <c r="R432" s="1259"/>
      <c r="S432" s="1259"/>
      <c r="T432" s="1259"/>
      <c r="U432" s="1259"/>
      <c r="V432" s="1259"/>
      <c r="W432" s="1259"/>
      <c r="X432" s="1259"/>
      <c r="Y432" s="1259"/>
      <c r="Z432" s="1259"/>
    </row>
    <row r="433" spans="1:26" ht="15.75" customHeight="1">
      <c r="A433" s="1259"/>
      <c r="B433" s="1259"/>
      <c r="C433" s="1259"/>
      <c r="D433" s="1259"/>
      <c r="E433" s="1259"/>
      <c r="F433" s="1259"/>
      <c r="G433" s="1259"/>
      <c r="H433" s="1259"/>
      <c r="I433" s="1259"/>
      <c r="J433" s="1259"/>
      <c r="K433" s="1259"/>
      <c r="L433" s="1259"/>
      <c r="M433" s="1259"/>
      <c r="N433" s="1259"/>
      <c r="O433" s="1259"/>
      <c r="P433" s="1259"/>
      <c r="Q433" s="1259"/>
      <c r="R433" s="1259"/>
      <c r="S433" s="1259"/>
      <c r="T433" s="1259"/>
      <c r="U433" s="1259"/>
      <c r="V433" s="1259"/>
      <c r="W433" s="1259"/>
      <c r="X433" s="1259"/>
      <c r="Y433" s="1259"/>
      <c r="Z433" s="1259"/>
    </row>
    <row r="434" spans="1:26" ht="15.75" customHeight="1">
      <c r="A434" s="1259"/>
      <c r="B434" s="1259"/>
      <c r="C434" s="1259"/>
      <c r="D434" s="1259"/>
      <c r="E434" s="1259"/>
      <c r="F434" s="1259"/>
      <c r="G434" s="1259"/>
      <c r="H434" s="1259"/>
      <c r="I434" s="1259"/>
      <c r="J434" s="1259"/>
      <c r="K434" s="1259"/>
      <c r="L434" s="1259"/>
      <c r="M434" s="1259"/>
      <c r="N434" s="1259"/>
      <c r="O434" s="1259"/>
      <c r="P434" s="1259"/>
      <c r="Q434" s="1259"/>
      <c r="R434" s="1259"/>
      <c r="S434" s="1259"/>
      <c r="T434" s="1259"/>
      <c r="U434" s="1259"/>
      <c r="V434" s="1259"/>
      <c r="W434" s="1259"/>
      <c r="X434" s="1259"/>
      <c r="Y434" s="1259"/>
      <c r="Z434" s="1259"/>
    </row>
    <row r="435" spans="1:26" ht="15.75" customHeight="1">
      <c r="A435" s="1259"/>
      <c r="B435" s="1259"/>
      <c r="C435" s="1259"/>
      <c r="D435" s="1259"/>
      <c r="E435" s="1259"/>
      <c r="F435" s="1259"/>
      <c r="G435" s="1259"/>
      <c r="H435" s="1259"/>
      <c r="I435" s="1259"/>
      <c r="J435" s="1259"/>
      <c r="K435" s="1259"/>
      <c r="L435" s="1259"/>
      <c r="M435" s="1259"/>
      <c r="N435" s="1259"/>
      <c r="O435" s="1259"/>
      <c r="P435" s="1259"/>
      <c r="Q435" s="1259"/>
      <c r="R435" s="1259"/>
      <c r="S435" s="1259"/>
      <c r="T435" s="1259"/>
      <c r="U435" s="1259"/>
      <c r="V435" s="1259"/>
      <c r="W435" s="1259"/>
      <c r="X435" s="1259"/>
      <c r="Y435" s="1259"/>
      <c r="Z435" s="1259"/>
    </row>
    <row r="436" spans="1:26" ht="15.75" customHeight="1">
      <c r="A436" s="1259"/>
      <c r="B436" s="1259"/>
      <c r="C436" s="1259"/>
      <c r="D436" s="1259"/>
      <c r="E436" s="1259"/>
      <c r="F436" s="1259"/>
      <c r="G436" s="1259"/>
      <c r="H436" s="1259"/>
      <c r="I436" s="1259"/>
      <c r="J436" s="1259"/>
      <c r="K436" s="1259"/>
      <c r="L436" s="1259"/>
      <c r="M436" s="1259"/>
      <c r="N436" s="1259"/>
      <c r="O436" s="1259"/>
      <c r="P436" s="1259"/>
      <c r="Q436" s="1259"/>
      <c r="R436" s="1259"/>
      <c r="S436" s="1259"/>
      <c r="T436" s="1259"/>
      <c r="U436" s="1259"/>
      <c r="V436" s="1259"/>
      <c r="W436" s="1259"/>
      <c r="X436" s="1259"/>
      <c r="Y436" s="1259"/>
      <c r="Z436" s="1259"/>
    </row>
    <row r="437" spans="1:26" ht="15.75" customHeight="1">
      <c r="A437" s="1259"/>
      <c r="B437" s="1259"/>
      <c r="C437" s="1259"/>
      <c r="D437" s="1259"/>
      <c r="E437" s="1259"/>
      <c r="F437" s="1259"/>
      <c r="G437" s="1259"/>
      <c r="H437" s="1259"/>
      <c r="I437" s="1259"/>
      <c r="J437" s="1259"/>
      <c r="K437" s="1259"/>
      <c r="L437" s="1259"/>
      <c r="M437" s="1259"/>
      <c r="N437" s="1259"/>
      <c r="O437" s="1259"/>
      <c r="P437" s="1259"/>
      <c r="Q437" s="1259"/>
      <c r="R437" s="1259"/>
      <c r="S437" s="1259"/>
      <c r="T437" s="1259"/>
      <c r="U437" s="1259"/>
      <c r="V437" s="1259"/>
      <c r="W437" s="1259"/>
      <c r="X437" s="1259"/>
      <c r="Y437" s="1259"/>
      <c r="Z437" s="1259"/>
    </row>
    <row r="438" spans="1:26" ht="15.75" customHeight="1">
      <c r="A438" s="1259"/>
      <c r="B438" s="1259"/>
      <c r="C438" s="1259"/>
      <c r="D438" s="1259"/>
      <c r="E438" s="1259"/>
      <c r="F438" s="1259"/>
      <c r="G438" s="1259"/>
      <c r="H438" s="1259"/>
      <c r="I438" s="1259"/>
      <c r="J438" s="1259"/>
      <c r="K438" s="1259"/>
      <c r="L438" s="1259"/>
      <c r="M438" s="1259"/>
      <c r="N438" s="1259"/>
      <c r="O438" s="1259"/>
      <c r="P438" s="1259"/>
      <c r="Q438" s="1259"/>
      <c r="R438" s="1259"/>
      <c r="S438" s="1259"/>
      <c r="T438" s="1259"/>
      <c r="U438" s="1259"/>
      <c r="V438" s="1259"/>
      <c r="W438" s="1259"/>
      <c r="X438" s="1259"/>
      <c r="Y438" s="1259"/>
      <c r="Z438" s="1259"/>
    </row>
    <row r="439" spans="1:26" ht="15.75" customHeight="1">
      <c r="A439" s="1259"/>
      <c r="B439" s="1259"/>
      <c r="C439" s="1259"/>
      <c r="D439" s="1259"/>
      <c r="E439" s="1259"/>
      <c r="F439" s="1259"/>
      <c r="G439" s="1259"/>
      <c r="H439" s="1259"/>
      <c r="I439" s="1259"/>
      <c r="J439" s="1259"/>
      <c r="K439" s="1259"/>
      <c r="L439" s="1259"/>
      <c r="M439" s="1259"/>
      <c r="N439" s="1259"/>
      <c r="O439" s="1259"/>
      <c r="P439" s="1259"/>
      <c r="Q439" s="1259"/>
      <c r="R439" s="1259"/>
      <c r="S439" s="1259"/>
      <c r="T439" s="1259"/>
      <c r="U439" s="1259"/>
      <c r="V439" s="1259"/>
      <c r="W439" s="1259"/>
      <c r="X439" s="1259"/>
      <c r="Y439" s="1259"/>
      <c r="Z439" s="1259"/>
    </row>
    <row r="440" spans="1:26" ht="15.75" customHeight="1">
      <c r="A440" s="1259"/>
      <c r="B440" s="1259"/>
      <c r="C440" s="1259"/>
      <c r="D440" s="1259"/>
      <c r="E440" s="1259"/>
      <c r="F440" s="1259"/>
      <c r="G440" s="1259"/>
      <c r="H440" s="1259"/>
      <c r="I440" s="1259"/>
      <c r="J440" s="1259"/>
      <c r="K440" s="1259"/>
      <c r="L440" s="1259"/>
      <c r="M440" s="1259"/>
      <c r="N440" s="1259"/>
      <c r="O440" s="1259"/>
      <c r="P440" s="1259"/>
      <c r="Q440" s="1259"/>
      <c r="R440" s="1259"/>
      <c r="S440" s="1259"/>
      <c r="T440" s="1259"/>
      <c r="U440" s="1259"/>
      <c r="V440" s="1259"/>
      <c r="W440" s="1259"/>
      <c r="X440" s="1259"/>
      <c r="Y440" s="1259"/>
      <c r="Z440" s="1259"/>
    </row>
    <row r="441" spans="1:26" ht="15.75" customHeight="1">
      <c r="A441" s="1259"/>
      <c r="B441" s="1259"/>
      <c r="C441" s="1259"/>
      <c r="D441" s="1259"/>
      <c r="E441" s="1259"/>
      <c r="F441" s="1259"/>
      <c r="G441" s="1259"/>
      <c r="H441" s="1259"/>
      <c r="I441" s="1259"/>
      <c r="J441" s="1259"/>
      <c r="K441" s="1259"/>
      <c r="L441" s="1259"/>
      <c r="M441" s="1259"/>
      <c r="N441" s="1259"/>
      <c r="O441" s="1259"/>
      <c r="P441" s="1259"/>
      <c r="Q441" s="1259"/>
      <c r="R441" s="1259"/>
      <c r="S441" s="1259"/>
      <c r="T441" s="1259"/>
      <c r="U441" s="1259"/>
      <c r="V441" s="1259"/>
      <c r="W441" s="1259"/>
      <c r="X441" s="1259"/>
      <c r="Y441" s="1259"/>
      <c r="Z441" s="1259"/>
    </row>
    <row r="442" spans="1:26" ht="15.75" customHeight="1">
      <c r="A442" s="1259"/>
      <c r="B442" s="1259"/>
      <c r="C442" s="1259"/>
      <c r="D442" s="1259"/>
      <c r="E442" s="1259"/>
      <c r="F442" s="1259"/>
      <c r="G442" s="1259"/>
      <c r="H442" s="1259"/>
      <c r="I442" s="1259"/>
      <c r="J442" s="1259"/>
      <c r="K442" s="1259"/>
      <c r="L442" s="1259"/>
      <c r="M442" s="1259"/>
      <c r="N442" s="1259"/>
      <c r="O442" s="1259"/>
      <c r="P442" s="1259"/>
      <c r="Q442" s="1259"/>
      <c r="R442" s="1259"/>
      <c r="S442" s="1259"/>
      <c r="T442" s="1259"/>
      <c r="U442" s="1259"/>
      <c r="V442" s="1259"/>
      <c r="W442" s="1259"/>
      <c r="X442" s="1259"/>
      <c r="Y442" s="1259"/>
      <c r="Z442" s="1259"/>
    </row>
    <row r="443" spans="1:26" ht="15.75" customHeight="1">
      <c r="A443" s="1259"/>
      <c r="B443" s="1259"/>
      <c r="C443" s="1259"/>
      <c r="D443" s="1259"/>
      <c r="E443" s="1259"/>
      <c r="F443" s="1259"/>
      <c r="G443" s="1259"/>
      <c r="H443" s="1259"/>
      <c r="I443" s="1259"/>
      <c r="J443" s="1259"/>
      <c r="K443" s="1259"/>
      <c r="L443" s="1259"/>
      <c r="M443" s="1259"/>
      <c r="N443" s="1259"/>
      <c r="O443" s="1259"/>
      <c r="P443" s="1259"/>
      <c r="Q443" s="1259"/>
      <c r="R443" s="1259"/>
      <c r="S443" s="1259"/>
      <c r="T443" s="1259"/>
      <c r="U443" s="1259"/>
      <c r="V443" s="1259"/>
      <c r="W443" s="1259"/>
      <c r="X443" s="1259"/>
      <c r="Y443" s="1259"/>
      <c r="Z443" s="1259"/>
    </row>
    <row r="444" spans="1:26" ht="15.75" customHeight="1">
      <c r="A444" s="1259"/>
      <c r="B444" s="1259"/>
      <c r="C444" s="1259"/>
      <c r="D444" s="1259"/>
      <c r="E444" s="1259"/>
      <c r="F444" s="1259"/>
      <c r="G444" s="1259"/>
      <c r="H444" s="1259"/>
      <c r="I444" s="1259"/>
      <c r="J444" s="1259"/>
      <c r="K444" s="1259"/>
      <c r="L444" s="1259"/>
      <c r="M444" s="1259"/>
      <c r="N444" s="1259"/>
      <c r="O444" s="1259"/>
      <c r="P444" s="1259"/>
      <c r="Q444" s="1259"/>
      <c r="R444" s="1259"/>
      <c r="S444" s="1259"/>
      <c r="T444" s="1259"/>
      <c r="U444" s="1259"/>
      <c r="V444" s="1259"/>
      <c r="W444" s="1259"/>
      <c r="X444" s="1259"/>
      <c r="Y444" s="1259"/>
      <c r="Z444" s="1259"/>
    </row>
    <row r="445" spans="1:26" ht="15.75" customHeight="1">
      <c r="A445" s="1259"/>
      <c r="B445" s="1259"/>
      <c r="C445" s="1259"/>
      <c r="D445" s="1259"/>
      <c r="E445" s="1259"/>
      <c r="F445" s="1259"/>
      <c r="G445" s="1259"/>
      <c r="H445" s="1259"/>
      <c r="I445" s="1259"/>
      <c r="J445" s="1259"/>
      <c r="K445" s="1259"/>
      <c r="L445" s="1259"/>
      <c r="M445" s="1259"/>
      <c r="N445" s="1259"/>
      <c r="O445" s="1259"/>
      <c r="P445" s="1259"/>
      <c r="Q445" s="1259"/>
      <c r="R445" s="1259"/>
      <c r="S445" s="1259"/>
      <c r="T445" s="1259"/>
      <c r="U445" s="1259"/>
      <c r="V445" s="1259"/>
      <c r="W445" s="1259"/>
      <c r="X445" s="1259"/>
      <c r="Y445" s="1259"/>
      <c r="Z445" s="1259"/>
    </row>
    <row r="446" spans="1:26" ht="15.75" customHeight="1">
      <c r="A446" s="1259"/>
      <c r="B446" s="1259"/>
      <c r="C446" s="1259"/>
      <c r="D446" s="1259"/>
      <c r="E446" s="1259"/>
      <c r="F446" s="1259"/>
      <c r="G446" s="1259"/>
      <c r="H446" s="1259"/>
      <c r="I446" s="1259"/>
      <c r="J446" s="1259"/>
      <c r="K446" s="1259"/>
      <c r="L446" s="1259"/>
      <c r="M446" s="1259"/>
      <c r="N446" s="1259"/>
      <c r="O446" s="1259"/>
      <c r="P446" s="1259"/>
      <c r="Q446" s="1259"/>
      <c r="R446" s="1259"/>
      <c r="S446" s="1259"/>
      <c r="T446" s="1259"/>
      <c r="U446" s="1259"/>
      <c r="V446" s="1259"/>
      <c r="W446" s="1259"/>
      <c r="X446" s="1259"/>
      <c r="Y446" s="1259"/>
      <c r="Z446" s="1259"/>
    </row>
    <row r="447" spans="1:26" ht="15.75" customHeight="1">
      <c r="A447" s="1259"/>
      <c r="B447" s="1259"/>
      <c r="C447" s="1259"/>
      <c r="D447" s="1259"/>
      <c r="E447" s="1259"/>
      <c r="F447" s="1259"/>
      <c r="G447" s="1259"/>
      <c r="H447" s="1259"/>
      <c r="I447" s="1259"/>
      <c r="J447" s="1259"/>
      <c r="K447" s="1259"/>
      <c r="L447" s="1259"/>
      <c r="M447" s="1259"/>
      <c r="N447" s="1259"/>
      <c r="O447" s="1259"/>
      <c r="P447" s="1259"/>
      <c r="Q447" s="1259"/>
      <c r="R447" s="1259"/>
      <c r="S447" s="1259"/>
      <c r="T447" s="1259"/>
      <c r="U447" s="1259"/>
      <c r="V447" s="1259"/>
      <c r="W447" s="1259"/>
      <c r="X447" s="1259"/>
      <c r="Y447" s="1259"/>
      <c r="Z447" s="1259"/>
    </row>
    <row r="448" spans="1:26" ht="15.75" customHeight="1">
      <c r="A448" s="1259"/>
      <c r="B448" s="1259"/>
      <c r="C448" s="1259"/>
      <c r="D448" s="1259"/>
      <c r="E448" s="1259"/>
      <c r="F448" s="1259"/>
      <c r="G448" s="1259"/>
      <c r="H448" s="1259"/>
      <c r="I448" s="1259"/>
      <c r="J448" s="1259"/>
      <c r="K448" s="1259"/>
      <c r="L448" s="1259"/>
      <c r="M448" s="1259"/>
      <c r="N448" s="1259"/>
      <c r="O448" s="1259"/>
      <c r="P448" s="1259"/>
      <c r="Q448" s="1259"/>
      <c r="R448" s="1259"/>
      <c r="S448" s="1259"/>
      <c r="T448" s="1259"/>
      <c r="U448" s="1259"/>
      <c r="V448" s="1259"/>
      <c r="W448" s="1259"/>
      <c r="X448" s="1259"/>
      <c r="Y448" s="1259"/>
      <c r="Z448" s="1259"/>
    </row>
    <row r="449" spans="1:26" ht="15.75" customHeight="1">
      <c r="A449" s="1259"/>
      <c r="B449" s="1259"/>
      <c r="C449" s="1259"/>
      <c r="D449" s="1259"/>
      <c r="E449" s="1259"/>
      <c r="F449" s="1259"/>
      <c r="G449" s="1259"/>
      <c r="H449" s="1259"/>
      <c r="I449" s="1259"/>
      <c r="J449" s="1259"/>
      <c r="K449" s="1259"/>
      <c r="L449" s="1259"/>
      <c r="M449" s="1259"/>
      <c r="N449" s="1259"/>
      <c r="O449" s="1259"/>
      <c r="P449" s="1259"/>
      <c r="Q449" s="1259"/>
      <c r="R449" s="1259"/>
      <c r="S449" s="1259"/>
      <c r="T449" s="1259"/>
      <c r="U449" s="1259"/>
      <c r="V449" s="1259"/>
      <c r="W449" s="1259"/>
      <c r="X449" s="1259"/>
      <c r="Y449" s="1259"/>
      <c r="Z449" s="1259"/>
    </row>
    <row r="450" spans="1:26" ht="15.75" customHeight="1">
      <c r="A450" s="1259"/>
      <c r="B450" s="1259"/>
      <c r="C450" s="1259"/>
      <c r="D450" s="1259"/>
      <c r="E450" s="1259"/>
      <c r="F450" s="1259"/>
      <c r="G450" s="1259"/>
      <c r="H450" s="1259"/>
      <c r="I450" s="1259"/>
      <c r="J450" s="1259"/>
      <c r="K450" s="1259"/>
      <c r="L450" s="1259"/>
      <c r="M450" s="1259"/>
      <c r="N450" s="1259"/>
      <c r="O450" s="1259"/>
      <c r="P450" s="1259"/>
      <c r="Q450" s="1259"/>
      <c r="R450" s="1259"/>
      <c r="S450" s="1259"/>
      <c r="T450" s="1259"/>
      <c r="U450" s="1259"/>
      <c r="V450" s="1259"/>
      <c r="W450" s="1259"/>
      <c r="X450" s="1259"/>
      <c r="Y450" s="1259"/>
      <c r="Z450" s="1259"/>
    </row>
    <row r="451" spans="1:26" ht="15.75" customHeight="1">
      <c r="A451" s="1259"/>
      <c r="B451" s="1259"/>
      <c r="C451" s="1259"/>
      <c r="D451" s="1259"/>
      <c r="E451" s="1259"/>
      <c r="F451" s="1259"/>
      <c r="G451" s="1259"/>
      <c r="H451" s="1259"/>
      <c r="I451" s="1259"/>
      <c r="J451" s="1259"/>
      <c r="K451" s="1259"/>
      <c r="L451" s="1259"/>
      <c r="M451" s="1259"/>
      <c r="N451" s="1259"/>
      <c r="O451" s="1259"/>
      <c r="P451" s="1259"/>
      <c r="Q451" s="1259"/>
      <c r="R451" s="1259"/>
      <c r="S451" s="1259"/>
      <c r="T451" s="1259"/>
      <c r="U451" s="1259"/>
      <c r="V451" s="1259"/>
      <c r="W451" s="1259"/>
      <c r="X451" s="1259"/>
      <c r="Y451" s="1259"/>
      <c r="Z451" s="1259"/>
    </row>
    <row r="452" spans="1:26" ht="15.75" customHeight="1">
      <c r="A452" s="1259"/>
      <c r="B452" s="1259"/>
      <c r="C452" s="1259"/>
      <c r="D452" s="1259"/>
      <c r="E452" s="1259"/>
      <c r="F452" s="1259"/>
      <c r="G452" s="1259"/>
      <c r="H452" s="1259"/>
      <c r="I452" s="1259"/>
      <c r="J452" s="1259"/>
      <c r="K452" s="1259"/>
      <c r="L452" s="1259"/>
      <c r="M452" s="1259"/>
      <c r="N452" s="1259"/>
      <c r="O452" s="1259"/>
      <c r="P452" s="1259"/>
      <c r="Q452" s="1259"/>
      <c r="R452" s="1259"/>
      <c r="S452" s="1259"/>
      <c r="T452" s="1259"/>
      <c r="U452" s="1259"/>
      <c r="V452" s="1259"/>
      <c r="W452" s="1259"/>
      <c r="X452" s="1259"/>
      <c r="Y452" s="1259"/>
      <c r="Z452" s="1259"/>
    </row>
    <row r="453" spans="1:26" ht="15.75" customHeight="1">
      <c r="A453" s="1259"/>
      <c r="B453" s="1259"/>
      <c r="C453" s="1259"/>
      <c r="D453" s="1259"/>
      <c r="E453" s="1259"/>
      <c r="F453" s="1259"/>
      <c r="G453" s="1259"/>
      <c r="H453" s="1259"/>
      <c r="I453" s="1259"/>
      <c r="J453" s="1259"/>
      <c r="K453" s="1259"/>
      <c r="L453" s="1259"/>
      <c r="M453" s="1259"/>
      <c r="N453" s="1259"/>
      <c r="O453" s="1259"/>
      <c r="P453" s="1259"/>
      <c r="Q453" s="1259"/>
      <c r="R453" s="1259"/>
      <c r="S453" s="1259"/>
      <c r="T453" s="1259"/>
      <c r="U453" s="1259"/>
      <c r="V453" s="1259"/>
      <c r="W453" s="1259"/>
      <c r="X453" s="1259"/>
      <c r="Y453" s="1259"/>
      <c r="Z453" s="1259"/>
    </row>
    <row r="454" spans="1:26" ht="15.75" customHeight="1">
      <c r="A454" s="1259"/>
      <c r="B454" s="1259"/>
      <c r="C454" s="1259"/>
      <c r="D454" s="1259"/>
      <c r="E454" s="1259"/>
      <c r="F454" s="1259"/>
      <c r="G454" s="1259"/>
      <c r="H454" s="1259"/>
      <c r="I454" s="1259"/>
      <c r="J454" s="1259"/>
      <c r="K454" s="1259"/>
      <c r="L454" s="1259"/>
      <c r="M454" s="1259"/>
      <c r="N454" s="1259"/>
      <c r="O454" s="1259"/>
      <c r="P454" s="1259"/>
      <c r="Q454" s="1259"/>
      <c r="R454" s="1259"/>
      <c r="S454" s="1259"/>
      <c r="T454" s="1259"/>
      <c r="U454" s="1259"/>
      <c r="V454" s="1259"/>
      <c r="W454" s="1259"/>
      <c r="X454" s="1259"/>
      <c r="Y454" s="1259"/>
      <c r="Z454" s="1259"/>
    </row>
    <row r="455" spans="1:26" ht="15.75" customHeight="1">
      <c r="A455" s="1259"/>
      <c r="B455" s="1259"/>
      <c r="C455" s="1259"/>
      <c r="D455" s="1259"/>
      <c r="E455" s="1259"/>
      <c r="F455" s="1259"/>
      <c r="G455" s="1259"/>
      <c r="H455" s="1259"/>
      <c r="I455" s="1259"/>
      <c r="J455" s="1259"/>
      <c r="K455" s="1259"/>
      <c r="L455" s="1259"/>
      <c r="M455" s="1259"/>
      <c r="N455" s="1259"/>
      <c r="O455" s="1259"/>
      <c r="P455" s="1259"/>
      <c r="Q455" s="1259"/>
      <c r="R455" s="1259"/>
      <c r="S455" s="1259"/>
      <c r="T455" s="1259"/>
      <c r="U455" s="1259"/>
      <c r="V455" s="1259"/>
      <c r="W455" s="1259"/>
      <c r="X455" s="1259"/>
      <c r="Y455" s="1259"/>
      <c r="Z455" s="1259"/>
    </row>
    <row r="456" spans="1:26" ht="15.75" customHeight="1">
      <c r="A456" s="1259"/>
      <c r="B456" s="1259"/>
      <c r="C456" s="1259"/>
      <c r="D456" s="1259"/>
      <c r="E456" s="1259"/>
      <c r="F456" s="1259"/>
      <c r="G456" s="1259"/>
      <c r="H456" s="1259"/>
      <c r="I456" s="1259"/>
      <c r="J456" s="1259"/>
      <c r="K456" s="1259"/>
      <c r="L456" s="1259"/>
      <c r="M456" s="1259"/>
      <c r="N456" s="1259"/>
      <c r="O456" s="1259"/>
      <c r="P456" s="1259"/>
      <c r="Q456" s="1259"/>
      <c r="R456" s="1259"/>
      <c r="S456" s="1259"/>
      <c r="T456" s="1259"/>
      <c r="U456" s="1259"/>
      <c r="V456" s="1259"/>
      <c r="W456" s="1259"/>
      <c r="X456" s="1259"/>
      <c r="Y456" s="1259"/>
      <c r="Z456" s="1259"/>
    </row>
    <row r="457" spans="1:26" ht="15.75" customHeight="1">
      <c r="A457" s="1259"/>
      <c r="B457" s="1259"/>
      <c r="C457" s="1259"/>
      <c r="D457" s="1259"/>
      <c r="E457" s="1259"/>
      <c r="F457" s="1259"/>
      <c r="G457" s="1259"/>
      <c r="H457" s="1259"/>
      <c r="I457" s="1259"/>
      <c r="J457" s="1259"/>
      <c r="K457" s="1259"/>
      <c r="L457" s="1259"/>
      <c r="M457" s="1259"/>
      <c r="N457" s="1259"/>
      <c r="O457" s="1259"/>
      <c r="P457" s="1259"/>
      <c r="Q457" s="1259"/>
      <c r="R457" s="1259"/>
      <c r="S457" s="1259"/>
      <c r="T457" s="1259"/>
      <c r="U457" s="1259"/>
      <c r="V457" s="1259"/>
      <c r="W457" s="1259"/>
      <c r="X457" s="1259"/>
      <c r="Y457" s="1259"/>
      <c r="Z457" s="1259"/>
    </row>
    <row r="458" spans="1:26" ht="15.75" customHeight="1">
      <c r="A458" s="1259"/>
      <c r="B458" s="1259"/>
      <c r="C458" s="1259"/>
      <c r="D458" s="1259"/>
      <c r="E458" s="1259"/>
      <c r="F458" s="1259"/>
      <c r="G458" s="1259"/>
      <c r="H458" s="1259"/>
      <c r="I458" s="1259"/>
      <c r="J458" s="1259"/>
      <c r="K458" s="1259"/>
      <c r="L458" s="1259"/>
      <c r="M458" s="1259"/>
      <c r="N458" s="1259"/>
      <c r="O458" s="1259"/>
      <c r="P458" s="1259"/>
      <c r="Q458" s="1259"/>
      <c r="R458" s="1259"/>
      <c r="S458" s="1259"/>
      <c r="T458" s="1259"/>
      <c r="U458" s="1259"/>
      <c r="V458" s="1259"/>
      <c r="W458" s="1259"/>
      <c r="X458" s="1259"/>
      <c r="Y458" s="1259"/>
      <c r="Z458" s="1259"/>
    </row>
    <row r="459" spans="1:26" ht="15.75" customHeight="1">
      <c r="A459" s="1259"/>
      <c r="B459" s="1259"/>
      <c r="C459" s="1259"/>
      <c r="D459" s="1259"/>
      <c r="E459" s="1259"/>
      <c r="F459" s="1259"/>
      <c r="G459" s="1259"/>
      <c r="H459" s="1259"/>
      <c r="I459" s="1259"/>
      <c r="J459" s="1259"/>
      <c r="K459" s="1259"/>
      <c r="L459" s="1259"/>
      <c r="M459" s="1259"/>
      <c r="N459" s="1259"/>
      <c r="O459" s="1259"/>
      <c r="P459" s="1259"/>
      <c r="Q459" s="1259"/>
      <c r="R459" s="1259"/>
      <c r="S459" s="1259"/>
      <c r="T459" s="1259"/>
      <c r="U459" s="1259"/>
      <c r="V459" s="1259"/>
      <c r="W459" s="1259"/>
      <c r="X459" s="1259"/>
      <c r="Y459" s="1259"/>
      <c r="Z459" s="1259"/>
    </row>
    <row r="460" spans="1:26" ht="15.75" customHeight="1">
      <c r="A460" s="1259"/>
      <c r="B460" s="1259"/>
      <c r="C460" s="1259"/>
      <c r="D460" s="1259"/>
      <c r="E460" s="1259"/>
      <c r="F460" s="1259"/>
      <c r="G460" s="1259"/>
      <c r="H460" s="1259"/>
      <c r="I460" s="1259"/>
      <c r="J460" s="1259"/>
      <c r="K460" s="1259"/>
      <c r="L460" s="1259"/>
      <c r="M460" s="1259"/>
      <c r="N460" s="1259"/>
      <c r="O460" s="1259"/>
      <c r="P460" s="1259"/>
      <c r="Q460" s="1259"/>
      <c r="R460" s="1259"/>
      <c r="S460" s="1259"/>
      <c r="T460" s="1259"/>
      <c r="U460" s="1259"/>
      <c r="V460" s="1259"/>
      <c r="W460" s="1259"/>
      <c r="X460" s="1259"/>
      <c r="Y460" s="1259"/>
      <c r="Z460" s="1259"/>
    </row>
    <row r="461" spans="1:26" ht="15.75" customHeight="1">
      <c r="A461" s="1259"/>
      <c r="B461" s="1259"/>
      <c r="C461" s="1259"/>
      <c r="D461" s="1259"/>
      <c r="E461" s="1259"/>
      <c r="F461" s="1259"/>
      <c r="G461" s="1259"/>
      <c r="H461" s="1259"/>
      <c r="I461" s="1259"/>
      <c r="J461" s="1259"/>
      <c r="K461" s="1259"/>
      <c r="L461" s="1259"/>
      <c r="M461" s="1259"/>
      <c r="N461" s="1259"/>
      <c r="O461" s="1259"/>
      <c r="P461" s="1259"/>
      <c r="Q461" s="1259"/>
      <c r="R461" s="1259"/>
      <c r="S461" s="1259"/>
      <c r="T461" s="1259"/>
      <c r="U461" s="1259"/>
      <c r="V461" s="1259"/>
      <c r="W461" s="1259"/>
      <c r="X461" s="1259"/>
      <c r="Y461" s="1259"/>
      <c r="Z461" s="1259"/>
    </row>
    <row r="462" spans="1:26" ht="15.75" customHeight="1">
      <c r="A462" s="1259"/>
      <c r="B462" s="1259"/>
      <c r="C462" s="1259"/>
      <c r="D462" s="1259"/>
      <c r="E462" s="1259"/>
      <c r="F462" s="1259"/>
      <c r="G462" s="1259"/>
      <c r="H462" s="1259"/>
      <c r="I462" s="1259"/>
      <c r="J462" s="1259"/>
      <c r="K462" s="1259"/>
      <c r="L462" s="1259"/>
      <c r="M462" s="1259"/>
      <c r="N462" s="1259"/>
      <c r="O462" s="1259"/>
      <c r="P462" s="1259"/>
      <c r="Q462" s="1259"/>
      <c r="R462" s="1259"/>
      <c r="S462" s="1259"/>
      <c r="T462" s="1259"/>
      <c r="U462" s="1259"/>
      <c r="V462" s="1259"/>
      <c r="W462" s="1259"/>
      <c r="X462" s="1259"/>
      <c r="Y462" s="1259"/>
      <c r="Z462" s="1259"/>
    </row>
    <row r="463" spans="1:26" ht="15.75" customHeight="1">
      <c r="A463" s="1259"/>
      <c r="B463" s="1259"/>
      <c r="C463" s="1259"/>
      <c r="D463" s="1259"/>
      <c r="E463" s="1259"/>
      <c r="F463" s="1259"/>
      <c r="G463" s="1259"/>
      <c r="H463" s="1259"/>
      <c r="I463" s="1259"/>
      <c r="J463" s="1259"/>
      <c r="K463" s="1259"/>
      <c r="L463" s="1259"/>
      <c r="M463" s="1259"/>
      <c r="N463" s="1259"/>
      <c r="O463" s="1259"/>
      <c r="P463" s="1259"/>
      <c r="Q463" s="1259"/>
      <c r="R463" s="1259"/>
      <c r="S463" s="1259"/>
      <c r="T463" s="1259"/>
      <c r="U463" s="1259"/>
      <c r="V463" s="1259"/>
      <c r="W463" s="1259"/>
      <c r="X463" s="1259"/>
      <c r="Y463" s="1259"/>
      <c r="Z463" s="1259"/>
    </row>
    <row r="464" spans="1:26" ht="15.75" customHeight="1">
      <c r="A464" s="1259"/>
      <c r="B464" s="1259"/>
      <c r="C464" s="1259"/>
      <c r="D464" s="1259"/>
      <c r="E464" s="1259"/>
      <c r="F464" s="1259"/>
      <c r="G464" s="1259"/>
      <c r="H464" s="1259"/>
      <c r="I464" s="1259"/>
      <c r="J464" s="1259"/>
      <c r="K464" s="1259"/>
      <c r="L464" s="1259"/>
      <c r="M464" s="1259"/>
      <c r="N464" s="1259"/>
      <c r="O464" s="1259"/>
      <c r="P464" s="1259"/>
      <c r="Q464" s="1259"/>
      <c r="R464" s="1259"/>
      <c r="S464" s="1259"/>
      <c r="T464" s="1259"/>
      <c r="U464" s="1259"/>
      <c r="V464" s="1259"/>
      <c r="W464" s="1259"/>
      <c r="X464" s="1259"/>
      <c r="Y464" s="1259"/>
      <c r="Z464" s="1259"/>
    </row>
    <row r="465" spans="1:26" ht="15.75" customHeight="1">
      <c r="A465" s="1259"/>
      <c r="B465" s="1259"/>
      <c r="C465" s="1259"/>
      <c r="D465" s="1259"/>
      <c r="E465" s="1259"/>
      <c r="F465" s="1259"/>
      <c r="G465" s="1259"/>
      <c r="H465" s="1259"/>
      <c r="I465" s="1259"/>
      <c r="J465" s="1259"/>
      <c r="K465" s="1259"/>
      <c r="L465" s="1259"/>
      <c r="M465" s="1259"/>
      <c r="N465" s="1259"/>
      <c r="O465" s="1259"/>
      <c r="P465" s="1259"/>
      <c r="Q465" s="1259"/>
      <c r="R465" s="1259"/>
      <c r="S465" s="1259"/>
      <c r="T465" s="1259"/>
      <c r="U465" s="1259"/>
      <c r="V465" s="1259"/>
      <c r="W465" s="1259"/>
      <c r="X465" s="1259"/>
      <c r="Y465" s="1259"/>
      <c r="Z465" s="1259"/>
    </row>
    <row r="466" spans="1:26" ht="15.75" customHeight="1">
      <c r="A466" s="1259"/>
      <c r="B466" s="1259"/>
      <c r="C466" s="1259"/>
      <c r="D466" s="1259"/>
      <c r="E466" s="1259"/>
      <c r="F466" s="1259"/>
      <c r="G466" s="1259"/>
      <c r="H466" s="1259"/>
      <c r="I466" s="1259"/>
      <c r="J466" s="1259"/>
      <c r="K466" s="1259"/>
      <c r="L466" s="1259"/>
      <c r="M466" s="1259"/>
      <c r="N466" s="1259"/>
      <c r="O466" s="1259"/>
      <c r="P466" s="1259"/>
      <c r="Q466" s="1259"/>
      <c r="R466" s="1259"/>
      <c r="S466" s="1259"/>
      <c r="T466" s="1259"/>
      <c r="U466" s="1259"/>
      <c r="V466" s="1259"/>
      <c r="W466" s="1259"/>
      <c r="X466" s="1259"/>
      <c r="Y466" s="1259"/>
      <c r="Z466" s="1259"/>
    </row>
    <row r="467" spans="1:26" ht="15.75" customHeigh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row>
    <row r="468" spans="1:26" ht="15.75" customHeight="1">
      <c r="A468" s="1259"/>
      <c r="B468" s="1259"/>
      <c r="C468" s="1259"/>
      <c r="D468" s="1259"/>
      <c r="E468" s="1259"/>
      <c r="F468" s="1259"/>
      <c r="G468" s="1259"/>
      <c r="H468" s="1259"/>
      <c r="I468" s="1259"/>
      <c r="J468" s="1259"/>
      <c r="K468" s="1259"/>
      <c r="L468" s="1259"/>
      <c r="M468" s="1259"/>
      <c r="N468" s="1259"/>
      <c r="O468" s="1259"/>
      <c r="P468" s="1259"/>
      <c r="Q468" s="1259"/>
      <c r="R468" s="1259"/>
      <c r="S468" s="1259"/>
      <c r="T468" s="1259"/>
      <c r="U468" s="1259"/>
      <c r="V468" s="1259"/>
      <c r="W468" s="1259"/>
      <c r="X468" s="1259"/>
      <c r="Y468" s="1259"/>
      <c r="Z468" s="1259"/>
    </row>
    <row r="469" spans="1:26" ht="15.75" customHeight="1">
      <c r="A469" s="1259"/>
      <c r="B469" s="1259"/>
      <c r="C469" s="1259"/>
      <c r="D469" s="1259"/>
      <c r="E469" s="1259"/>
      <c r="F469" s="1259"/>
      <c r="G469" s="1259"/>
      <c r="H469" s="1259"/>
      <c r="I469" s="1259"/>
      <c r="J469" s="1259"/>
      <c r="K469" s="1259"/>
      <c r="L469" s="1259"/>
      <c r="M469" s="1259"/>
      <c r="N469" s="1259"/>
      <c r="O469" s="1259"/>
      <c r="P469" s="1259"/>
      <c r="Q469" s="1259"/>
      <c r="R469" s="1259"/>
      <c r="S469" s="1259"/>
      <c r="T469" s="1259"/>
      <c r="U469" s="1259"/>
      <c r="V469" s="1259"/>
      <c r="W469" s="1259"/>
      <c r="X469" s="1259"/>
      <c r="Y469" s="1259"/>
      <c r="Z469" s="1259"/>
    </row>
    <row r="470" spans="1:26" ht="15.75" customHeight="1">
      <c r="A470" s="1259"/>
      <c r="B470" s="1259"/>
      <c r="C470" s="1259"/>
      <c r="D470" s="1259"/>
      <c r="E470" s="1259"/>
      <c r="F470" s="1259"/>
      <c r="G470" s="1259"/>
      <c r="H470" s="1259"/>
      <c r="I470" s="1259"/>
      <c r="J470" s="1259"/>
      <c r="K470" s="1259"/>
      <c r="L470" s="1259"/>
      <c r="M470" s="1259"/>
      <c r="N470" s="1259"/>
      <c r="O470" s="1259"/>
      <c r="P470" s="1259"/>
      <c r="Q470" s="1259"/>
      <c r="R470" s="1259"/>
      <c r="S470" s="1259"/>
      <c r="T470" s="1259"/>
      <c r="U470" s="1259"/>
      <c r="V470" s="1259"/>
      <c r="W470" s="1259"/>
      <c r="X470" s="1259"/>
      <c r="Y470" s="1259"/>
      <c r="Z470" s="1259"/>
    </row>
    <row r="471" spans="1:26" ht="15.75" customHeight="1">
      <c r="A471" s="1259"/>
      <c r="B471" s="1259"/>
      <c r="C471" s="1259"/>
      <c r="D471" s="1259"/>
      <c r="E471" s="1259"/>
      <c r="F471" s="1259"/>
      <c r="G471" s="1259"/>
      <c r="H471" s="1259"/>
      <c r="I471" s="1259"/>
      <c r="J471" s="1259"/>
      <c r="K471" s="1259"/>
      <c r="L471" s="1259"/>
      <c r="M471" s="1259"/>
      <c r="N471" s="1259"/>
      <c r="O471" s="1259"/>
      <c r="P471" s="1259"/>
      <c r="Q471" s="1259"/>
      <c r="R471" s="1259"/>
      <c r="S471" s="1259"/>
      <c r="T471" s="1259"/>
      <c r="U471" s="1259"/>
      <c r="V471" s="1259"/>
      <c r="W471" s="1259"/>
      <c r="X471" s="1259"/>
      <c r="Y471" s="1259"/>
      <c r="Z471" s="1259"/>
    </row>
    <row r="472" spans="1:26" ht="15.75" customHeight="1">
      <c r="A472" s="1259"/>
      <c r="B472" s="1259"/>
      <c r="C472" s="1259"/>
      <c r="D472" s="1259"/>
      <c r="E472" s="1259"/>
      <c r="F472" s="1259"/>
      <c r="G472" s="1259"/>
      <c r="H472" s="1259"/>
      <c r="I472" s="1259"/>
      <c r="J472" s="1259"/>
      <c r="K472" s="1259"/>
      <c r="L472" s="1259"/>
      <c r="M472" s="1259"/>
      <c r="N472" s="1259"/>
      <c r="O472" s="1259"/>
      <c r="P472" s="1259"/>
      <c r="Q472" s="1259"/>
      <c r="R472" s="1259"/>
      <c r="S472" s="1259"/>
      <c r="T472" s="1259"/>
      <c r="U472" s="1259"/>
      <c r="V472" s="1259"/>
      <c r="W472" s="1259"/>
      <c r="X472" s="1259"/>
      <c r="Y472" s="1259"/>
      <c r="Z472" s="1259"/>
    </row>
    <row r="473" spans="1:26" ht="15.75" customHeight="1">
      <c r="A473" s="1259"/>
      <c r="B473" s="1259"/>
      <c r="C473" s="1259"/>
      <c r="D473" s="1259"/>
      <c r="E473" s="1259"/>
      <c r="F473" s="1259"/>
      <c r="G473" s="1259"/>
      <c r="H473" s="1259"/>
      <c r="I473" s="1259"/>
      <c r="J473" s="1259"/>
      <c r="K473" s="1259"/>
      <c r="L473" s="1259"/>
      <c r="M473" s="1259"/>
      <c r="N473" s="1259"/>
      <c r="O473" s="1259"/>
      <c r="P473" s="1259"/>
      <c r="Q473" s="1259"/>
      <c r="R473" s="1259"/>
      <c r="S473" s="1259"/>
      <c r="T473" s="1259"/>
      <c r="U473" s="1259"/>
      <c r="V473" s="1259"/>
      <c r="W473" s="1259"/>
      <c r="X473" s="1259"/>
      <c r="Y473" s="1259"/>
      <c r="Z473" s="1259"/>
    </row>
    <row r="474" spans="1:26" ht="15.75" customHeight="1">
      <c r="A474" s="1259"/>
      <c r="B474" s="1259"/>
      <c r="C474" s="1259"/>
      <c r="D474" s="1259"/>
      <c r="E474" s="1259"/>
      <c r="F474" s="1259"/>
      <c r="G474" s="1259"/>
      <c r="H474" s="1259"/>
      <c r="I474" s="1259"/>
      <c r="J474" s="1259"/>
      <c r="K474" s="1259"/>
      <c r="L474" s="1259"/>
      <c r="M474" s="1259"/>
      <c r="N474" s="1259"/>
      <c r="O474" s="1259"/>
      <c r="P474" s="1259"/>
      <c r="Q474" s="1259"/>
      <c r="R474" s="1259"/>
      <c r="S474" s="1259"/>
      <c r="T474" s="1259"/>
      <c r="U474" s="1259"/>
      <c r="V474" s="1259"/>
      <c r="W474" s="1259"/>
      <c r="X474" s="1259"/>
      <c r="Y474" s="1259"/>
      <c r="Z474" s="1259"/>
    </row>
    <row r="475" spans="1:26" ht="15.75" customHeight="1">
      <c r="A475" s="1259"/>
      <c r="B475" s="1259"/>
      <c r="C475" s="1259"/>
      <c r="D475" s="1259"/>
      <c r="E475" s="1259"/>
      <c r="F475" s="1259"/>
      <c r="G475" s="1259"/>
      <c r="H475" s="1259"/>
      <c r="I475" s="1259"/>
      <c r="J475" s="1259"/>
      <c r="K475" s="1259"/>
      <c r="L475" s="1259"/>
      <c r="M475" s="1259"/>
      <c r="N475" s="1259"/>
      <c r="O475" s="1259"/>
      <c r="P475" s="1259"/>
      <c r="Q475" s="1259"/>
      <c r="R475" s="1259"/>
      <c r="S475" s="1259"/>
      <c r="T475" s="1259"/>
      <c r="U475" s="1259"/>
      <c r="V475" s="1259"/>
      <c r="W475" s="1259"/>
      <c r="X475" s="1259"/>
      <c r="Y475" s="1259"/>
      <c r="Z475" s="1259"/>
    </row>
    <row r="476" spans="1:26" ht="15.75" customHeight="1">
      <c r="A476" s="1259"/>
      <c r="B476" s="1259"/>
      <c r="C476" s="1259"/>
      <c r="D476" s="1259"/>
      <c r="E476" s="1259"/>
      <c r="F476" s="1259"/>
      <c r="G476" s="1259"/>
      <c r="H476" s="1259"/>
      <c r="I476" s="1259"/>
      <c r="J476" s="1259"/>
      <c r="K476" s="1259"/>
      <c r="L476" s="1259"/>
      <c r="M476" s="1259"/>
      <c r="N476" s="1259"/>
      <c r="O476" s="1259"/>
      <c r="P476" s="1259"/>
      <c r="Q476" s="1259"/>
      <c r="R476" s="1259"/>
      <c r="S476" s="1259"/>
      <c r="T476" s="1259"/>
      <c r="U476" s="1259"/>
      <c r="V476" s="1259"/>
      <c r="W476" s="1259"/>
      <c r="X476" s="1259"/>
      <c r="Y476" s="1259"/>
      <c r="Z476" s="1259"/>
    </row>
    <row r="477" spans="1:26" ht="15.75" customHeight="1">
      <c r="A477" s="1259"/>
      <c r="B477" s="1259"/>
      <c r="C477" s="1259"/>
      <c r="D477" s="1259"/>
      <c r="E477" s="1259"/>
      <c r="F477" s="1259"/>
      <c r="G477" s="1259"/>
      <c r="H477" s="1259"/>
      <c r="I477" s="1259"/>
      <c r="J477" s="1259"/>
      <c r="K477" s="1259"/>
      <c r="L477" s="1259"/>
      <c r="M477" s="1259"/>
      <c r="N477" s="1259"/>
      <c r="O477" s="1259"/>
      <c r="P477" s="1259"/>
      <c r="Q477" s="1259"/>
      <c r="R477" s="1259"/>
      <c r="S477" s="1259"/>
      <c r="T477" s="1259"/>
      <c r="U477" s="1259"/>
      <c r="V477" s="1259"/>
      <c r="W477" s="1259"/>
      <c r="X477" s="1259"/>
      <c r="Y477" s="1259"/>
      <c r="Z477" s="1259"/>
    </row>
    <row r="478" spans="1:26" ht="15.75" customHeight="1">
      <c r="A478" s="1259"/>
      <c r="B478" s="1259"/>
      <c r="C478" s="1259"/>
      <c r="D478" s="1259"/>
      <c r="E478" s="1259"/>
      <c r="F478" s="1259"/>
      <c r="G478" s="1259"/>
      <c r="H478" s="1259"/>
      <c r="I478" s="1259"/>
      <c r="J478" s="1259"/>
      <c r="K478" s="1259"/>
      <c r="L478" s="1259"/>
      <c r="M478" s="1259"/>
      <c r="N478" s="1259"/>
      <c r="O478" s="1259"/>
      <c r="P478" s="1259"/>
      <c r="Q478" s="1259"/>
      <c r="R478" s="1259"/>
      <c r="S478" s="1259"/>
      <c r="T478" s="1259"/>
      <c r="U478" s="1259"/>
      <c r="V478" s="1259"/>
      <c r="W478" s="1259"/>
      <c r="X478" s="1259"/>
      <c r="Y478" s="1259"/>
      <c r="Z478" s="1259"/>
    </row>
    <row r="479" spans="1:26" ht="15.75" customHeight="1">
      <c r="A479" s="1259"/>
      <c r="B479" s="1259"/>
      <c r="C479" s="1259"/>
      <c r="D479" s="1259"/>
      <c r="E479" s="1259"/>
      <c r="F479" s="1259"/>
      <c r="G479" s="1259"/>
      <c r="H479" s="1259"/>
      <c r="I479" s="1259"/>
      <c r="J479" s="1259"/>
      <c r="K479" s="1259"/>
      <c r="L479" s="1259"/>
      <c r="M479" s="1259"/>
      <c r="N479" s="1259"/>
      <c r="O479" s="1259"/>
      <c r="P479" s="1259"/>
      <c r="Q479" s="1259"/>
      <c r="R479" s="1259"/>
      <c r="S479" s="1259"/>
      <c r="T479" s="1259"/>
      <c r="U479" s="1259"/>
      <c r="V479" s="1259"/>
      <c r="W479" s="1259"/>
      <c r="X479" s="1259"/>
      <c r="Y479" s="1259"/>
      <c r="Z479" s="1259"/>
    </row>
    <row r="480" spans="1:26" ht="15.75" customHeight="1">
      <c r="A480" s="1259"/>
      <c r="B480" s="1259"/>
      <c r="C480" s="1259"/>
      <c r="D480" s="1259"/>
      <c r="E480" s="1259"/>
      <c r="F480" s="1259"/>
      <c r="G480" s="1259"/>
      <c r="H480" s="1259"/>
      <c r="I480" s="1259"/>
      <c r="J480" s="1259"/>
      <c r="K480" s="1259"/>
      <c r="L480" s="1259"/>
      <c r="M480" s="1259"/>
      <c r="N480" s="1259"/>
      <c r="O480" s="1259"/>
      <c r="P480" s="1259"/>
      <c r="Q480" s="1259"/>
      <c r="R480" s="1259"/>
      <c r="S480" s="1259"/>
      <c r="T480" s="1259"/>
      <c r="U480" s="1259"/>
      <c r="V480" s="1259"/>
      <c r="W480" s="1259"/>
      <c r="X480" s="1259"/>
      <c r="Y480" s="1259"/>
      <c r="Z480" s="1259"/>
    </row>
    <row r="481" spans="1:26" ht="15.75" customHeight="1">
      <c r="A481" s="1259"/>
      <c r="B481" s="1259"/>
      <c r="C481" s="1259"/>
      <c r="D481" s="1259"/>
      <c r="E481" s="1259"/>
      <c r="F481" s="1259"/>
      <c r="G481" s="1259"/>
      <c r="H481" s="1259"/>
      <c r="I481" s="1259"/>
      <c r="J481" s="1259"/>
      <c r="K481" s="1259"/>
      <c r="L481" s="1259"/>
      <c r="M481" s="1259"/>
      <c r="N481" s="1259"/>
      <c r="O481" s="1259"/>
      <c r="P481" s="1259"/>
      <c r="Q481" s="1259"/>
      <c r="R481" s="1259"/>
      <c r="S481" s="1259"/>
      <c r="T481" s="1259"/>
      <c r="U481" s="1259"/>
      <c r="V481" s="1259"/>
      <c r="W481" s="1259"/>
      <c r="X481" s="1259"/>
      <c r="Y481" s="1259"/>
      <c r="Z481" s="1259"/>
    </row>
    <row r="482" spans="1:26" ht="15.75" customHeight="1">
      <c r="A482" s="1259"/>
      <c r="B482" s="1259"/>
      <c r="C482" s="1259"/>
      <c r="D482" s="1259"/>
      <c r="E482" s="1259"/>
      <c r="F482" s="1259"/>
      <c r="G482" s="1259"/>
      <c r="H482" s="1259"/>
      <c r="I482" s="1259"/>
      <c r="J482" s="1259"/>
      <c r="K482" s="1259"/>
      <c r="L482" s="1259"/>
      <c r="M482" s="1259"/>
      <c r="N482" s="1259"/>
      <c r="O482" s="1259"/>
      <c r="P482" s="1259"/>
      <c r="Q482" s="1259"/>
      <c r="R482" s="1259"/>
      <c r="S482" s="1259"/>
      <c r="T482" s="1259"/>
      <c r="U482" s="1259"/>
      <c r="V482" s="1259"/>
      <c r="W482" s="1259"/>
      <c r="X482" s="1259"/>
      <c r="Y482" s="1259"/>
      <c r="Z482" s="1259"/>
    </row>
    <row r="483" spans="1:26" ht="15.75" customHeight="1">
      <c r="A483" s="1259"/>
      <c r="B483" s="1259"/>
      <c r="C483" s="1259"/>
      <c r="D483" s="1259"/>
      <c r="E483" s="1259"/>
      <c r="F483" s="1259"/>
      <c r="G483" s="1259"/>
      <c r="H483" s="1259"/>
      <c r="I483" s="1259"/>
      <c r="J483" s="1259"/>
      <c r="K483" s="1259"/>
      <c r="L483" s="1259"/>
      <c r="M483" s="1259"/>
      <c r="N483" s="1259"/>
      <c r="O483" s="1259"/>
      <c r="P483" s="1259"/>
      <c r="Q483" s="1259"/>
      <c r="R483" s="1259"/>
      <c r="S483" s="1259"/>
      <c r="T483" s="1259"/>
      <c r="U483" s="1259"/>
      <c r="V483" s="1259"/>
      <c r="W483" s="1259"/>
      <c r="X483" s="1259"/>
      <c r="Y483" s="1259"/>
      <c r="Z483" s="1259"/>
    </row>
    <row r="484" spans="1:26" ht="15.75" customHeight="1">
      <c r="A484" s="1259"/>
      <c r="B484" s="1259"/>
      <c r="C484" s="1259"/>
      <c r="D484" s="1259"/>
      <c r="E484" s="1259"/>
      <c r="F484" s="1259"/>
      <c r="G484" s="1259"/>
      <c r="H484" s="1259"/>
      <c r="I484" s="1259"/>
      <c r="J484" s="1259"/>
      <c r="K484" s="1259"/>
      <c r="L484" s="1259"/>
      <c r="M484" s="1259"/>
      <c r="N484" s="1259"/>
      <c r="O484" s="1259"/>
      <c r="P484" s="1259"/>
      <c r="Q484" s="1259"/>
      <c r="R484" s="1259"/>
      <c r="S484" s="1259"/>
      <c r="T484" s="1259"/>
      <c r="U484" s="1259"/>
      <c r="V484" s="1259"/>
      <c r="W484" s="1259"/>
      <c r="X484" s="1259"/>
      <c r="Y484" s="1259"/>
      <c r="Z484" s="1259"/>
    </row>
    <row r="485" spans="1:26" ht="15.75" customHeight="1">
      <c r="A485" s="1259"/>
      <c r="B485" s="1259"/>
      <c r="C485" s="1259"/>
      <c r="D485" s="1259"/>
      <c r="E485" s="1259"/>
      <c r="F485" s="1259"/>
      <c r="G485" s="1259"/>
      <c r="H485" s="1259"/>
      <c r="I485" s="1259"/>
      <c r="J485" s="1259"/>
      <c r="K485" s="1259"/>
      <c r="L485" s="1259"/>
      <c r="M485" s="1259"/>
      <c r="N485" s="1259"/>
      <c r="O485" s="1259"/>
      <c r="P485" s="1259"/>
      <c r="Q485" s="1259"/>
      <c r="R485" s="1259"/>
      <c r="S485" s="1259"/>
      <c r="T485" s="1259"/>
      <c r="U485" s="1259"/>
      <c r="V485" s="1259"/>
      <c r="W485" s="1259"/>
      <c r="X485" s="1259"/>
      <c r="Y485" s="1259"/>
      <c r="Z485" s="1259"/>
    </row>
    <row r="486" spans="1:26" ht="15.75" customHeight="1">
      <c r="A486" s="1259"/>
      <c r="B486" s="1259"/>
      <c r="C486" s="1259"/>
      <c r="D486" s="1259"/>
      <c r="E486" s="1259"/>
      <c r="F486" s="1259"/>
      <c r="G486" s="1259"/>
      <c r="H486" s="1259"/>
      <c r="I486" s="1259"/>
      <c r="J486" s="1259"/>
      <c r="K486" s="1259"/>
      <c r="L486" s="1259"/>
      <c r="M486" s="1259"/>
      <c r="N486" s="1259"/>
      <c r="O486" s="1259"/>
      <c r="P486" s="1259"/>
      <c r="Q486" s="1259"/>
      <c r="R486" s="1259"/>
      <c r="S486" s="1259"/>
      <c r="T486" s="1259"/>
      <c r="U486" s="1259"/>
      <c r="V486" s="1259"/>
      <c r="W486" s="1259"/>
      <c r="X486" s="1259"/>
      <c r="Y486" s="1259"/>
      <c r="Z486" s="1259"/>
    </row>
    <row r="487" spans="1:26" ht="15.75" customHeight="1">
      <c r="A487" s="1259"/>
      <c r="B487" s="1259"/>
      <c r="C487" s="1259"/>
      <c r="D487" s="1259"/>
      <c r="E487" s="1259"/>
      <c r="F487" s="1259"/>
      <c r="G487" s="1259"/>
      <c r="H487" s="1259"/>
      <c r="I487" s="1259"/>
      <c r="J487" s="1259"/>
      <c r="K487" s="1259"/>
      <c r="L487" s="1259"/>
      <c r="M487" s="1259"/>
      <c r="N487" s="1259"/>
      <c r="O487" s="1259"/>
      <c r="P487" s="1259"/>
      <c r="Q487" s="1259"/>
      <c r="R487" s="1259"/>
      <c r="S487" s="1259"/>
      <c r="T487" s="1259"/>
      <c r="U487" s="1259"/>
      <c r="V487" s="1259"/>
      <c r="W487" s="1259"/>
      <c r="X487" s="1259"/>
      <c r="Y487" s="1259"/>
      <c r="Z487" s="1259"/>
    </row>
    <row r="488" spans="1:26" ht="15.75" customHeight="1">
      <c r="A488" s="1259"/>
      <c r="B488" s="1259"/>
      <c r="C488" s="1259"/>
      <c r="D488" s="1259"/>
      <c r="E488" s="1259"/>
      <c r="F488" s="1259"/>
      <c r="G488" s="1259"/>
      <c r="H488" s="1259"/>
      <c r="I488" s="1259"/>
      <c r="J488" s="1259"/>
      <c r="K488" s="1259"/>
      <c r="L488" s="1259"/>
      <c r="M488" s="1259"/>
      <c r="N488" s="1259"/>
      <c r="O488" s="1259"/>
      <c r="P488" s="1259"/>
      <c r="Q488" s="1259"/>
      <c r="R488" s="1259"/>
      <c r="S488" s="1259"/>
      <c r="T488" s="1259"/>
      <c r="U488" s="1259"/>
      <c r="V488" s="1259"/>
      <c r="W488" s="1259"/>
      <c r="X488" s="1259"/>
      <c r="Y488" s="1259"/>
      <c r="Z488" s="1259"/>
    </row>
    <row r="489" spans="1:26" ht="15.75" customHeight="1">
      <c r="A489" s="1259"/>
      <c r="B489" s="1259"/>
      <c r="C489" s="1259"/>
      <c r="D489" s="1259"/>
      <c r="E489" s="1259"/>
      <c r="F489" s="1259"/>
      <c r="G489" s="1259"/>
      <c r="H489" s="1259"/>
      <c r="I489" s="1259"/>
      <c r="J489" s="1259"/>
      <c r="K489" s="1259"/>
      <c r="L489" s="1259"/>
      <c r="M489" s="1259"/>
      <c r="N489" s="1259"/>
      <c r="O489" s="1259"/>
      <c r="P489" s="1259"/>
      <c r="Q489" s="1259"/>
      <c r="R489" s="1259"/>
      <c r="S489" s="1259"/>
      <c r="T489" s="1259"/>
      <c r="U489" s="1259"/>
      <c r="V489" s="1259"/>
      <c r="W489" s="1259"/>
      <c r="X489" s="1259"/>
      <c r="Y489" s="1259"/>
      <c r="Z489" s="1259"/>
    </row>
    <row r="490" spans="1:26" ht="15.75" customHeight="1">
      <c r="A490" s="1259"/>
      <c r="B490" s="1259"/>
      <c r="C490" s="1259"/>
      <c r="D490" s="1259"/>
      <c r="E490" s="1259"/>
      <c r="F490" s="1259"/>
      <c r="G490" s="1259"/>
      <c r="H490" s="1259"/>
      <c r="I490" s="1259"/>
      <c r="J490" s="1259"/>
      <c r="K490" s="1259"/>
      <c r="L490" s="1259"/>
      <c r="M490" s="1259"/>
      <c r="N490" s="1259"/>
      <c r="O490" s="1259"/>
      <c r="P490" s="1259"/>
      <c r="Q490" s="1259"/>
      <c r="R490" s="1259"/>
      <c r="S490" s="1259"/>
      <c r="T490" s="1259"/>
      <c r="U490" s="1259"/>
      <c r="V490" s="1259"/>
      <c r="W490" s="1259"/>
      <c r="X490" s="1259"/>
      <c r="Y490" s="1259"/>
      <c r="Z490" s="1259"/>
    </row>
    <row r="491" spans="1:26" ht="15.75" customHeight="1">
      <c r="A491" s="1259"/>
      <c r="B491" s="1259"/>
      <c r="C491" s="1259"/>
      <c r="D491" s="1259"/>
      <c r="E491" s="1259"/>
      <c r="F491" s="1259"/>
      <c r="G491" s="1259"/>
      <c r="H491" s="1259"/>
      <c r="I491" s="1259"/>
      <c r="J491" s="1259"/>
      <c r="K491" s="1259"/>
      <c r="L491" s="1259"/>
      <c r="M491" s="1259"/>
      <c r="N491" s="1259"/>
      <c r="O491" s="1259"/>
      <c r="P491" s="1259"/>
      <c r="Q491" s="1259"/>
      <c r="R491" s="1259"/>
      <c r="S491" s="1259"/>
      <c r="T491" s="1259"/>
      <c r="U491" s="1259"/>
      <c r="V491" s="1259"/>
      <c r="W491" s="1259"/>
      <c r="X491" s="1259"/>
      <c r="Y491" s="1259"/>
      <c r="Z491" s="1259"/>
    </row>
    <row r="492" spans="1:26" ht="15.75" customHeight="1">
      <c r="A492" s="1259"/>
      <c r="B492" s="1259"/>
      <c r="C492" s="1259"/>
      <c r="D492" s="1259"/>
      <c r="E492" s="1259"/>
      <c r="F492" s="1259"/>
      <c r="G492" s="1259"/>
      <c r="H492" s="1259"/>
      <c r="I492" s="1259"/>
      <c r="J492" s="1259"/>
      <c r="K492" s="1259"/>
      <c r="L492" s="1259"/>
      <c r="M492" s="1259"/>
      <c r="N492" s="1259"/>
      <c r="O492" s="1259"/>
      <c r="P492" s="1259"/>
      <c r="Q492" s="1259"/>
      <c r="R492" s="1259"/>
      <c r="S492" s="1259"/>
      <c r="T492" s="1259"/>
      <c r="U492" s="1259"/>
      <c r="V492" s="1259"/>
      <c r="W492" s="1259"/>
      <c r="X492" s="1259"/>
      <c r="Y492" s="1259"/>
      <c r="Z492" s="1259"/>
    </row>
    <row r="493" spans="1:26" ht="15.75" customHeight="1">
      <c r="A493" s="1259"/>
      <c r="B493" s="1259"/>
      <c r="C493" s="1259"/>
      <c r="D493" s="1259"/>
      <c r="E493" s="1259"/>
      <c r="F493" s="1259"/>
      <c r="G493" s="1259"/>
      <c r="H493" s="1259"/>
      <c r="I493" s="1259"/>
      <c r="J493" s="1259"/>
      <c r="K493" s="1259"/>
      <c r="L493" s="1259"/>
      <c r="M493" s="1259"/>
      <c r="N493" s="1259"/>
      <c r="O493" s="1259"/>
      <c r="P493" s="1259"/>
      <c r="Q493" s="1259"/>
      <c r="R493" s="1259"/>
      <c r="S493" s="1259"/>
      <c r="T493" s="1259"/>
      <c r="U493" s="1259"/>
      <c r="V493" s="1259"/>
      <c r="W493" s="1259"/>
      <c r="X493" s="1259"/>
      <c r="Y493" s="1259"/>
      <c r="Z493" s="1259"/>
    </row>
    <row r="494" spans="1:26" ht="15.75" customHeight="1">
      <c r="A494" s="1259"/>
      <c r="B494" s="1259"/>
      <c r="C494" s="1259"/>
      <c r="D494" s="1259"/>
      <c r="E494" s="1259"/>
      <c r="F494" s="1259"/>
      <c r="G494" s="1259"/>
      <c r="H494" s="1259"/>
      <c r="I494" s="1259"/>
      <c r="J494" s="1259"/>
      <c r="K494" s="1259"/>
      <c r="L494" s="1259"/>
      <c r="M494" s="1259"/>
      <c r="N494" s="1259"/>
      <c r="O494" s="1259"/>
      <c r="P494" s="1259"/>
      <c r="Q494" s="1259"/>
      <c r="R494" s="1259"/>
      <c r="S494" s="1259"/>
      <c r="T494" s="1259"/>
      <c r="U494" s="1259"/>
      <c r="V494" s="1259"/>
      <c r="W494" s="1259"/>
      <c r="X494" s="1259"/>
      <c r="Y494" s="1259"/>
      <c r="Z494" s="1259"/>
    </row>
    <row r="495" spans="1:26" ht="15.75" customHeight="1">
      <c r="A495" s="1259"/>
      <c r="B495" s="1259"/>
      <c r="C495" s="1259"/>
      <c r="D495" s="1259"/>
      <c r="E495" s="1259"/>
      <c r="F495" s="1259"/>
      <c r="G495" s="1259"/>
      <c r="H495" s="1259"/>
      <c r="I495" s="1259"/>
      <c r="J495" s="1259"/>
      <c r="K495" s="1259"/>
      <c r="L495" s="1259"/>
      <c r="M495" s="1259"/>
      <c r="N495" s="1259"/>
      <c r="O495" s="1259"/>
      <c r="P495" s="1259"/>
      <c r="Q495" s="1259"/>
      <c r="R495" s="1259"/>
      <c r="S495" s="1259"/>
      <c r="T495" s="1259"/>
      <c r="U495" s="1259"/>
      <c r="V495" s="1259"/>
      <c r="W495" s="1259"/>
      <c r="X495" s="1259"/>
      <c r="Y495" s="1259"/>
      <c r="Z495" s="1259"/>
    </row>
    <row r="496" spans="1:26" ht="15.75" customHeight="1">
      <c r="A496" s="1259"/>
      <c r="B496" s="1259"/>
      <c r="C496" s="1259"/>
      <c r="D496" s="1259"/>
      <c r="E496" s="1259"/>
      <c r="F496" s="1259"/>
      <c r="G496" s="1259"/>
      <c r="H496" s="1259"/>
      <c r="I496" s="1259"/>
      <c r="J496" s="1259"/>
      <c r="K496" s="1259"/>
      <c r="L496" s="1259"/>
      <c r="M496" s="1259"/>
      <c r="N496" s="1259"/>
      <c r="O496" s="1259"/>
      <c r="P496" s="1259"/>
      <c r="Q496" s="1259"/>
      <c r="R496" s="1259"/>
      <c r="S496" s="1259"/>
      <c r="T496" s="1259"/>
      <c r="U496" s="1259"/>
      <c r="V496" s="1259"/>
      <c r="W496" s="1259"/>
      <c r="X496" s="1259"/>
      <c r="Y496" s="1259"/>
      <c r="Z496" s="1259"/>
    </row>
    <row r="497" spans="1:26" ht="15.75" customHeight="1">
      <c r="A497" s="1259"/>
      <c r="B497" s="1259"/>
      <c r="C497" s="1259"/>
      <c r="D497" s="1259"/>
      <c r="E497" s="1259"/>
      <c r="F497" s="1259"/>
      <c r="G497" s="1259"/>
      <c r="H497" s="1259"/>
      <c r="I497" s="1259"/>
      <c r="J497" s="1259"/>
      <c r="K497" s="1259"/>
      <c r="L497" s="1259"/>
      <c r="M497" s="1259"/>
      <c r="N497" s="1259"/>
      <c r="O497" s="1259"/>
      <c r="P497" s="1259"/>
      <c r="Q497" s="1259"/>
      <c r="R497" s="1259"/>
      <c r="S497" s="1259"/>
      <c r="T497" s="1259"/>
      <c r="U497" s="1259"/>
      <c r="V497" s="1259"/>
      <c r="W497" s="1259"/>
      <c r="X497" s="1259"/>
      <c r="Y497" s="1259"/>
      <c r="Z497" s="1259"/>
    </row>
    <row r="498" spans="1:26" ht="15.75" customHeight="1">
      <c r="A498" s="1259"/>
      <c r="B498" s="1259"/>
      <c r="C498" s="1259"/>
      <c r="D498" s="1259"/>
      <c r="E498" s="1259"/>
      <c r="F498" s="1259"/>
      <c r="G498" s="1259"/>
      <c r="H498" s="1259"/>
      <c r="I498" s="1259"/>
      <c r="J498" s="1259"/>
      <c r="K498" s="1259"/>
      <c r="L498" s="1259"/>
      <c r="M498" s="1259"/>
      <c r="N498" s="1259"/>
      <c r="O498" s="1259"/>
      <c r="P498" s="1259"/>
      <c r="Q498" s="1259"/>
      <c r="R498" s="1259"/>
      <c r="S498" s="1259"/>
      <c r="T498" s="1259"/>
      <c r="U498" s="1259"/>
      <c r="V498" s="1259"/>
      <c r="W498" s="1259"/>
      <c r="X498" s="1259"/>
      <c r="Y498" s="1259"/>
      <c r="Z498" s="1259"/>
    </row>
    <row r="499" spans="1:26" ht="15.75" customHeight="1">
      <c r="A499" s="1259"/>
      <c r="B499" s="1259"/>
      <c r="C499" s="1259"/>
      <c r="D499" s="1259"/>
      <c r="E499" s="1259"/>
      <c r="F499" s="1259"/>
      <c r="G499" s="1259"/>
      <c r="H499" s="1259"/>
      <c r="I499" s="1259"/>
      <c r="J499" s="1259"/>
      <c r="K499" s="1259"/>
      <c r="L499" s="1259"/>
      <c r="M499" s="1259"/>
      <c r="N499" s="1259"/>
      <c r="O499" s="1259"/>
      <c r="P499" s="1259"/>
      <c r="Q499" s="1259"/>
      <c r="R499" s="1259"/>
      <c r="S499" s="1259"/>
      <c r="T499" s="1259"/>
      <c r="U499" s="1259"/>
      <c r="V499" s="1259"/>
      <c r="W499" s="1259"/>
      <c r="X499" s="1259"/>
      <c r="Y499" s="1259"/>
      <c r="Z499" s="1259"/>
    </row>
    <row r="500" spans="1:26" ht="15.75" customHeight="1">
      <c r="A500" s="1259"/>
      <c r="B500" s="1259"/>
      <c r="C500" s="1259"/>
      <c r="D500" s="1259"/>
      <c r="E500" s="1259"/>
      <c r="F500" s="1259"/>
      <c r="G500" s="1259"/>
      <c r="H500" s="1259"/>
      <c r="I500" s="1259"/>
      <c r="J500" s="1259"/>
      <c r="K500" s="1259"/>
      <c r="L500" s="1259"/>
      <c r="M500" s="1259"/>
      <c r="N500" s="1259"/>
      <c r="O500" s="1259"/>
      <c r="P500" s="1259"/>
      <c r="Q500" s="1259"/>
      <c r="R500" s="1259"/>
      <c r="S500" s="1259"/>
      <c r="T500" s="1259"/>
      <c r="U500" s="1259"/>
      <c r="V500" s="1259"/>
      <c r="W500" s="1259"/>
      <c r="X500" s="1259"/>
      <c r="Y500" s="1259"/>
      <c r="Z500" s="1259"/>
    </row>
    <row r="501" spans="1:26" ht="15.75" customHeight="1">
      <c r="A501" s="1259"/>
      <c r="B501" s="1259"/>
      <c r="C501" s="1259"/>
      <c r="D501" s="1259"/>
      <c r="E501" s="1259"/>
      <c r="F501" s="1259"/>
      <c r="G501" s="1259"/>
      <c r="H501" s="1259"/>
      <c r="I501" s="1259"/>
      <c r="J501" s="1259"/>
      <c r="K501" s="1259"/>
      <c r="L501" s="1259"/>
      <c r="M501" s="1259"/>
      <c r="N501" s="1259"/>
      <c r="O501" s="1259"/>
      <c r="P501" s="1259"/>
      <c r="Q501" s="1259"/>
      <c r="R501" s="1259"/>
      <c r="S501" s="1259"/>
      <c r="T501" s="1259"/>
      <c r="U501" s="1259"/>
      <c r="V501" s="1259"/>
      <c r="W501" s="1259"/>
      <c r="X501" s="1259"/>
      <c r="Y501" s="1259"/>
      <c r="Z501" s="1259"/>
    </row>
    <row r="502" spans="1:26" ht="15.75" customHeight="1">
      <c r="A502" s="1259"/>
      <c r="B502" s="1259"/>
      <c r="C502" s="1259"/>
      <c r="D502" s="1259"/>
      <c r="E502" s="1259"/>
      <c r="F502" s="1259"/>
      <c r="G502" s="1259"/>
      <c r="H502" s="1259"/>
      <c r="I502" s="1259"/>
      <c r="J502" s="1259"/>
      <c r="K502" s="1259"/>
      <c r="L502" s="1259"/>
      <c r="M502" s="1259"/>
      <c r="N502" s="1259"/>
      <c r="O502" s="1259"/>
      <c r="P502" s="1259"/>
      <c r="Q502" s="1259"/>
      <c r="R502" s="1259"/>
      <c r="S502" s="1259"/>
      <c r="T502" s="1259"/>
      <c r="U502" s="1259"/>
      <c r="V502" s="1259"/>
      <c r="W502" s="1259"/>
      <c r="X502" s="1259"/>
      <c r="Y502" s="1259"/>
      <c r="Z502" s="1259"/>
    </row>
    <row r="503" spans="1:26" ht="15.75" customHeight="1">
      <c r="A503" s="1259"/>
      <c r="B503" s="1259"/>
      <c r="C503" s="1259"/>
      <c r="D503" s="1259"/>
      <c r="E503" s="1259"/>
      <c r="F503" s="1259"/>
      <c r="G503" s="1259"/>
      <c r="H503" s="1259"/>
      <c r="I503" s="1259"/>
      <c r="J503" s="1259"/>
      <c r="K503" s="1259"/>
      <c r="L503" s="1259"/>
      <c r="M503" s="1259"/>
      <c r="N503" s="1259"/>
      <c r="O503" s="1259"/>
      <c r="P503" s="1259"/>
      <c r="Q503" s="1259"/>
      <c r="R503" s="1259"/>
      <c r="S503" s="1259"/>
      <c r="T503" s="1259"/>
      <c r="U503" s="1259"/>
      <c r="V503" s="1259"/>
      <c r="W503" s="1259"/>
      <c r="X503" s="1259"/>
      <c r="Y503" s="1259"/>
      <c r="Z503" s="1259"/>
    </row>
    <row r="504" spans="1:26" ht="15.75" customHeight="1">
      <c r="A504" s="1259"/>
      <c r="B504" s="1259"/>
      <c r="C504" s="1259"/>
      <c r="D504" s="1259"/>
      <c r="E504" s="1259"/>
      <c r="F504" s="1259"/>
      <c r="G504" s="1259"/>
      <c r="H504" s="1259"/>
      <c r="I504" s="1259"/>
      <c r="J504" s="1259"/>
      <c r="K504" s="1259"/>
      <c r="L504" s="1259"/>
      <c r="M504" s="1259"/>
      <c r="N504" s="1259"/>
      <c r="O504" s="1259"/>
      <c r="P504" s="1259"/>
      <c r="Q504" s="1259"/>
      <c r="R504" s="1259"/>
      <c r="S504" s="1259"/>
      <c r="T504" s="1259"/>
      <c r="U504" s="1259"/>
      <c r="V504" s="1259"/>
      <c r="W504" s="1259"/>
      <c r="X504" s="1259"/>
      <c r="Y504" s="1259"/>
      <c r="Z504" s="1259"/>
    </row>
    <row r="505" spans="1:26" ht="15.75" customHeight="1">
      <c r="A505" s="1259"/>
      <c r="B505" s="1259"/>
      <c r="C505" s="1259"/>
      <c r="D505" s="1259"/>
      <c r="E505" s="1259"/>
      <c r="F505" s="1259"/>
      <c r="G505" s="1259"/>
      <c r="H505" s="1259"/>
      <c r="I505" s="1259"/>
      <c r="J505" s="1259"/>
      <c r="K505" s="1259"/>
      <c r="L505" s="1259"/>
      <c r="M505" s="1259"/>
      <c r="N505" s="1259"/>
      <c r="O505" s="1259"/>
      <c r="P505" s="1259"/>
      <c r="Q505" s="1259"/>
      <c r="R505" s="1259"/>
      <c r="S505" s="1259"/>
      <c r="T505" s="1259"/>
      <c r="U505" s="1259"/>
      <c r="V505" s="1259"/>
      <c r="W505" s="1259"/>
      <c r="X505" s="1259"/>
      <c r="Y505" s="1259"/>
      <c r="Z505" s="1259"/>
    </row>
    <row r="506" spans="1:26" ht="15.75" customHeight="1">
      <c r="A506" s="1259"/>
      <c r="B506" s="1259"/>
      <c r="C506" s="1259"/>
      <c r="D506" s="1259"/>
      <c r="E506" s="1259"/>
      <c r="F506" s="1259"/>
      <c r="G506" s="1259"/>
      <c r="H506" s="1259"/>
      <c r="I506" s="1259"/>
      <c r="J506" s="1259"/>
      <c r="K506" s="1259"/>
      <c r="L506" s="1259"/>
      <c r="M506" s="1259"/>
      <c r="N506" s="1259"/>
      <c r="O506" s="1259"/>
      <c r="P506" s="1259"/>
      <c r="Q506" s="1259"/>
      <c r="R506" s="1259"/>
      <c r="S506" s="1259"/>
      <c r="T506" s="1259"/>
      <c r="U506" s="1259"/>
      <c r="V506" s="1259"/>
      <c r="W506" s="1259"/>
      <c r="X506" s="1259"/>
      <c r="Y506" s="1259"/>
      <c r="Z506" s="1259"/>
    </row>
    <row r="507" spans="1:26" ht="15.75" customHeight="1">
      <c r="A507" s="1259"/>
      <c r="B507" s="1259"/>
      <c r="C507" s="1259"/>
      <c r="D507" s="1259"/>
      <c r="E507" s="1259"/>
      <c r="F507" s="1259"/>
      <c r="G507" s="1259"/>
      <c r="H507" s="1259"/>
      <c r="I507" s="1259"/>
      <c r="J507" s="1259"/>
      <c r="K507" s="1259"/>
      <c r="L507" s="1259"/>
      <c r="M507" s="1259"/>
      <c r="N507" s="1259"/>
      <c r="O507" s="1259"/>
      <c r="P507" s="1259"/>
      <c r="Q507" s="1259"/>
      <c r="R507" s="1259"/>
      <c r="S507" s="1259"/>
      <c r="T507" s="1259"/>
      <c r="U507" s="1259"/>
      <c r="V507" s="1259"/>
      <c r="W507" s="1259"/>
      <c r="X507" s="1259"/>
      <c r="Y507" s="1259"/>
      <c r="Z507" s="1259"/>
    </row>
    <row r="508" spans="1:26" ht="15.75" customHeight="1">
      <c r="A508" s="1259"/>
      <c r="B508" s="1259"/>
      <c r="C508" s="1259"/>
      <c r="D508" s="1259"/>
      <c r="E508" s="1259"/>
      <c r="F508" s="1259"/>
      <c r="G508" s="1259"/>
      <c r="H508" s="1259"/>
      <c r="I508" s="1259"/>
      <c r="J508" s="1259"/>
      <c r="K508" s="1259"/>
      <c r="L508" s="1259"/>
      <c r="M508" s="1259"/>
      <c r="N508" s="1259"/>
      <c r="O508" s="1259"/>
      <c r="P508" s="1259"/>
      <c r="Q508" s="1259"/>
      <c r="R508" s="1259"/>
      <c r="S508" s="1259"/>
      <c r="T508" s="1259"/>
      <c r="U508" s="1259"/>
      <c r="V508" s="1259"/>
      <c r="W508" s="1259"/>
      <c r="X508" s="1259"/>
      <c r="Y508" s="1259"/>
      <c r="Z508" s="1259"/>
    </row>
    <row r="509" spans="1:26" ht="15.75" customHeight="1">
      <c r="A509" s="1259"/>
      <c r="B509" s="1259"/>
      <c r="C509" s="1259"/>
      <c r="D509" s="1259"/>
      <c r="E509" s="1259"/>
      <c r="F509" s="1259"/>
      <c r="G509" s="1259"/>
      <c r="H509" s="1259"/>
      <c r="I509" s="1259"/>
      <c r="J509" s="1259"/>
      <c r="K509" s="1259"/>
      <c r="L509" s="1259"/>
      <c r="M509" s="1259"/>
      <c r="N509" s="1259"/>
      <c r="O509" s="1259"/>
      <c r="P509" s="1259"/>
      <c r="Q509" s="1259"/>
      <c r="R509" s="1259"/>
      <c r="S509" s="1259"/>
      <c r="T509" s="1259"/>
      <c r="U509" s="1259"/>
      <c r="V509" s="1259"/>
      <c r="W509" s="1259"/>
      <c r="X509" s="1259"/>
      <c r="Y509" s="1259"/>
      <c r="Z509" s="1259"/>
    </row>
    <row r="510" spans="1:26" ht="15.75" customHeight="1">
      <c r="A510" s="1259"/>
      <c r="B510" s="1259"/>
      <c r="C510" s="1259"/>
      <c r="D510" s="1259"/>
      <c r="E510" s="1259"/>
      <c r="F510" s="1259"/>
      <c r="G510" s="1259"/>
      <c r="H510" s="1259"/>
      <c r="I510" s="1259"/>
      <c r="J510" s="1259"/>
      <c r="K510" s="1259"/>
      <c r="L510" s="1259"/>
      <c r="M510" s="1259"/>
      <c r="N510" s="1259"/>
      <c r="O510" s="1259"/>
      <c r="P510" s="1259"/>
      <c r="Q510" s="1259"/>
      <c r="R510" s="1259"/>
      <c r="S510" s="1259"/>
      <c r="T510" s="1259"/>
      <c r="U510" s="1259"/>
      <c r="V510" s="1259"/>
      <c r="W510" s="1259"/>
      <c r="X510" s="1259"/>
      <c r="Y510" s="1259"/>
      <c r="Z510" s="1259"/>
    </row>
    <row r="511" spans="1:26" ht="15.75" customHeight="1">
      <c r="A511" s="1259"/>
      <c r="B511" s="1259"/>
      <c r="C511" s="1259"/>
      <c r="D511" s="1259"/>
      <c r="E511" s="1259"/>
      <c r="F511" s="1259"/>
      <c r="G511" s="1259"/>
      <c r="H511" s="1259"/>
      <c r="I511" s="1259"/>
      <c r="J511" s="1259"/>
      <c r="K511" s="1259"/>
      <c r="L511" s="1259"/>
      <c r="M511" s="1259"/>
      <c r="N511" s="1259"/>
      <c r="O511" s="1259"/>
      <c r="P511" s="1259"/>
      <c r="Q511" s="1259"/>
      <c r="R511" s="1259"/>
      <c r="S511" s="1259"/>
      <c r="T511" s="1259"/>
      <c r="U511" s="1259"/>
      <c r="V511" s="1259"/>
      <c r="W511" s="1259"/>
      <c r="X511" s="1259"/>
      <c r="Y511" s="1259"/>
      <c r="Z511" s="1259"/>
    </row>
    <row r="512" spans="1:26" ht="15.75" customHeight="1">
      <c r="A512" s="1259"/>
      <c r="B512" s="1259"/>
      <c r="C512" s="1259"/>
      <c r="D512" s="1259"/>
      <c r="E512" s="1259"/>
      <c r="F512" s="1259"/>
      <c r="G512" s="1259"/>
      <c r="H512" s="1259"/>
      <c r="I512" s="1259"/>
      <c r="J512" s="1259"/>
      <c r="K512" s="1259"/>
      <c r="L512" s="1259"/>
      <c r="M512" s="1259"/>
      <c r="N512" s="1259"/>
      <c r="O512" s="1259"/>
      <c r="P512" s="1259"/>
      <c r="Q512" s="1259"/>
      <c r="R512" s="1259"/>
      <c r="S512" s="1259"/>
      <c r="T512" s="1259"/>
      <c r="U512" s="1259"/>
      <c r="V512" s="1259"/>
      <c r="W512" s="1259"/>
      <c r="X512" s="1259"/>
      <c r="Y512" s="1259"/>
      <c r="Z512" s="1259"/>
    </row>
    <row r="513" spans="1:26" ht="15.75" customHeight="1">
      <c r="A513" s="1259"/>
      <c r="B513" s="1259"/>
      <c r="C513" s="1259"/>
      <c r="D513" s="1259"/>
      <c r="E513" s="1259"/>
      <c r="F513" s="1259"/>
      <c r="G513" s="1259"/>
      <c r="H513" s="1259"/>
      <c r="I513" s="1259"/>
      <c r="J513" s="1259"/>
      <c r="K513" s="1259"/>
      <c r="L513" s="1259"/>
      <c r="M513" s="1259"/>
      <c r="N513" s="1259"/>
      <c r="O513" s="1259"/>
      <c r="P513" s="1259"/>
      <c r="Q513" s="1259"/>
      <c r="R513" s="1259"/>
      <c r="S513" s="1259"/>
      <c r="T513" s="1259"/>
      <c r="U513" s="1259"/>
      <c r="V513" s="1259"/>
      <c r="W513" s="1259"/>
      <c r="X513" s="1259"/>
      <c r="Y513" s="1259"/>
      <c r="Z513" s="1259"/>
    </row>
    <row r="514" spans="1:26" ht="15.75" customHeight="1">
      <c r="A514" s="1259"/>
      <c r="B514" s="1259"/>
      <c r="C514" s="1259"/>
      <c r="D514" s="1259"/>
      <c r="E514" s="1259"/>
      <c r="F514" s="1259"/>
      <c r="G514" s="1259"/>
      <c r="H514" s="1259"/>
      <c r="I514" s="1259"/>
      <c r="J514" s="1259"/>
      <c r="K514" s="1259"/>
      <c r="L514" s="1259"/>
      <c r="M514" s="1259"/>
      <c r="N514" s="1259"/>
      <c r="O514" s="1259"/>
      <c r="P514" s="1259"/>
      <c r="Q514" s="1259"/>
      <c r="R514" s="1259"/>
      <c r="S514" s="1259"/>
      <c r="T514" s="1259"/>
      <c r="U514" s="1259"/>
      <c r="V514" s="1259"/>
      <c r="W514" s="1259"/>
      <c r="X514" s="1259"/>
      <c r="Y514" s="1259"/>
      <c r="Z514" s="1259"/>
    </row>
    <row r="515" spans="1:26" ht="15.75" customHeight="1">
      <c r="A515" s="1259"/>
      <c r="B515" s="1259"/>
      <c r="C515" s="1259"/>
      <c r="D515" s="1259"/>
      <c r="E515" s="1259"/>
      <c r="F515" s="1259"/>
      <c r="G515" s="1259"/>
      <c r="H515" s="1259"/>
      <c r="I515" s="1259"/>
      <c r="J515" s="1259"/>
      <c r="K515" s="1259"/>
      <c r="L515" s="1259"/>
      <c r="M515" s="1259"/>
      <c r="N515" s="1259"/>
      <c r="O515" s="1259"/>
      <c r="P515" s="1259"/>
      <c r="Q515" s="1259"/>
      <c r="R515" s="1259"/>
      <c r="S515" s="1259"/>
      <c r="T515" s="1259"/>
      <c r="U515" s="1259"/>
      <c r="V515" s="1259"/>
      <c r="W515" s="1259"/>
      <c r="X515" s="1259"/>
      <c r="Y515" s="1259"/>
      <c r="Z515" s="1259"/>
    </row>
    <row r="516" spans="1:26" ht="15.75" customHeight="1">
      <c r="A516" s="1259"/>
      <c r="B516" s="1259"/>
      <c r="C516" s="1259"/>
      <c r="D516" s="1259"/>
      <c r="E516" s="1259"/>
      <c r="F516" s="1259"/>
      <c r="G516" s="1259"/>
      <c r="H516" s="1259"/>
      <c r="I516" s="1259"/>
      <c r="J516" s="1259"/>
      <c r="K516" s="1259"/>
      <c r="L516" s="1259"/>
      <c r="M516" s="1259"/>
      <c r="N516" s="1259"/>
      <c r="O516" s="1259"/>
      <c r="P516" s="1259"/>
      <c r="Q516" s="1259"/>
      <c r="R516" s="1259"/>
      <c r="S516" s="1259"/>
      <c r="T516" s="1259"/>
      <c r="U516" s="1259"/>
      <c r="V516" s="1259"/>
      <c r="W516" s="1259"/>
      <c r="X516" s="1259"/>
      <c r="Y516" s="1259"/>
      <c r="Z516" s="1259"/>
    </row>
    <row r="517" spans="1:26" ht="15.75" customHeight="1">
      <c r="A517" s="1259"/>
      <c r="B517" s="1259"/>
      <c r="C517" s="1259"/>
      <c r="D517" s="1259"/>
      <c r="E517" s="1259"/>
      <c r="F517" s="1259"/>
      <c r="G517" s="1259"/>
      <c r="H517" s="1259"/>
      <c r="I517" s="1259"/>
      <c r="J517" s="1259"/>
      <c r="K517" s="1259"/>
      <c r="L517" s="1259"/>
      <c r="M517" s="1259"/>
      <c r="N517" s="1259"/>
      <c r="O517" s="1259"/>
      <c r="P517" s="1259"/>
      <c r="Q517" s="1259"/>
      <c r="R517" s="1259"/>
      <c r="S517" s="1259"/>
      <c r="T517" s="1259"/>
      <c r="U517" s="1259"/>
      <c r="V517" s="1259"/>
      <c r="W517" s="1259"/>
      <c r="X517" s="1259"/>
      <c r="Y517" s="1259"/>
      <c r="Z517" s="1259"/>
    </row>
    <row r="518" spans="1:26" ht="15.75" customHeight="1">
      <c r="A518" s="1259"/>
      <c r="B518" s="1259"/>
      <c r="C518" s="1259"/>
      <c r="D518" s="1259"/>
      <c r="E518" s="1259"/>
      <c r="F518" s="1259"/>
      <c r="G518" s="1259"/>
      <c r="H518" s="1259"/>
      <c r="I518" s="1259"/>
      <c r="J518" s="1259"/>
      <c r="K518" s="1259"/>
      <c r="L518" s="1259"/>
      <c r="M518" s="1259"/>
      <c r="N518" s="1259"/>
      <c r="O518" s="1259"/>
      <c r="P518" s="1259"/>
      <c r="Q518" s="1259"/>
      <c r="R518" s="1259"/>
      <c r="S518" s="1259"/>
      <c r="T518" s="1259"/>
      <c r="U518" s="1259"/>
      <c r="V518" s="1259"/>
      <c r="W518" s="1259"/>
      <c r="X518" s="1259"/>
      <c r="Y518" s="1259"/>
      <c r="Z518" s="1259"/>
    </row>
    <row r="519" spans="1:26" ht="15.75" customHeight="1">
      <c r="A519" s="1259"/>
      <c r="B519" s="1259"/>
      <c r="C519" s="1259"/>
      <c r="D519" s="1259"/>
      <c r="E519" s="1259"/>
      <c r="F519" s="1259"/>
      <c r="G519" s="1259"/>
      <c r="H519" s="1259"/>
      <c r="I519" s="1259"/>
      <c r="J519" s="1259"/>
      <c r="K519" s="1259"/>
      <c r="L519" s="1259"/>
      <c r="M519" s="1259"/>
      <c r="N519" s="1259"/>
      <c r="O519" s="1259"/>
      <c r="P519" s="1259"/>
      <c r="Q519" s="1259"/>
      <c r="R519" s="1259"/>
      <c r="S519" s="1259"/>
      <c r="T519" s="1259"/>
      <c r="U519" s="1259"/>
      <c r="V519" s="1259"/>
      <c r="W519" s="1259"/>
      <c r="X519" s="1259"/>
      <c r="Y519" s="1259"/>
      <c r="Z519" s="1259"/>
    </row>
    <row r="520" spans="1:26" ht="15.75" customHeight="1">
      <c r="A520" s="1259"/>
      <c r="B520" s="1259"/>
      <c r="C520" s="1259"/>
      <c r="D520" s="1259"/>
      <c r="E520" s="1259"/>
      <c r="F520" s="1259"/>
      <c r="G520" s="1259"/>
      <c r="H520" s="1259"/>
      <c r="I520" s="1259"/>
      <c r="J520" s="1259"/>
      <c r="K520" s="1259"/>
      <c r="L520" s="1259"/>
      <c r="M520" s="1259"/>
      <c r="N520" s="1259"/>
      <c r="O520" s="1259"/>
      <c r="P520" s="1259"/>
      <c r="Q520" s="1259"/>
      <c r="R520" s="1259"/>
      <c r="S520" s="1259"/>
      <c r="T520" s="1259"/>
      <c r="U520" s="1259"/>
      <c r="V520" s="1259"/>
      <c r="W520" s="1259"/>
      <c r="X520" s="1259"/>
      <c r="Y520" s="1259"/>
      <c r="Z520" s="1259"/>
    </row>
    <row r="521" spans="1:26" ht="15.75" customHeight="1">
      <c r="A521" s="1259"/>
      <c r="B521" s="1259"/>
      <c r="C521" s="1259"/>
      <c r="D521" s="1259"/>
      <c r="E521" s="1259"/>
      <c r="F521" s="1259"/>
      <c r="G521" s="1259"/>
      <c r="H521" s="1259"/>
      <c r="I521" s="1259"/>
      <c r="J521" s="1259"/>
      <c r="K521" s="1259"/>
      <c r="L521" s="1259"/>
      <c r="M521" s="1259"/>
      <c r="N521" s="1259"/>
      <c r="O521" s="1259"/>
      <c r="P521" s="1259"/>
      <c r="Q521" s="1259"/>
      <c r="R521" s="1259"/>
      <c r="S521" s="1259"/>
      <c r="T521" s="1259"/>
      <c r="U521" s="1259"/>
      <c r="V521" s="1259"/>
      <c r="W521" s="1259"/>
      <c r="X521" s="1259"/>
      <c r="Y521" s="1259"/>
      <c r="Z521" s="1259"/>
    </row>
    <row r="522" spans="1:26" ht="15.75" customHeight="1">
      <c r="A522" s="1259"/>
      <c r="B522" s="1259"/>
      <c r="C522" s="1259"/>
      <c r="D522" s="1259"/>
      <c r="E522" s="1259"/>
      <c r="F522" s="1259"/>
      <c r="G522" s="1259"/>
      <c r="H522" s="1259"/>
      <c r="I522" s="1259"/>
      <c r="J522" s="1259"/>
      <c r="K522" s="1259"/>
      <c r="L522" s="1259"/>
      <c r="M522" s="1259"/>
      <c r="N522" s="1259"/>
      <c r="O522" s="1259"/>
      <c r="P522" s="1259"/>
      <c r="Q522" s="1259"/>
      <c r="R522" s="1259"/>
      <c r="S522" s="1259"/>
      <c r="T522" s="1259"/>
      <c r="U522" s="1259"/>
      <c r="V522" s="1259"/>
      <c r="W522" s="1259"/>
      <c r="X522" s="1259"/>
      <c r="Y522" s="1259"/>
      <c r="Z522" s="1259"/>
    </row>
    <row r="523" spans="1:26" ht="15.75" customHeight="1">
      <c r="A523" s="1259"/>
      <c r="B523" s="1259"/>
      <c r="C523" s="1259"/>
      <c r="D523" s="1259"/>
      <c r="E523" s="1259"/>
      <c r="F523" s="1259"/>
      <c r="G523" s="1259"/>
      <c r="H523" s="1259"/>
      <c r="I523" s="1259"/>
      <c r="J523" s="1259"/>
      <c r="K523" s="1259"/>
      <c r="L523" s="1259"/>
      <c r="M523" s="1259"/>
      <c r="N523" s="1259"/>
      <c r="O523" s="1259"/>
      <c r="P523" s="1259"/>
      <c r="Q523" s="1259"/>
      <c r="R523" s="1259"/>
      <c r="S523" s="1259"/>
      <c r="T523" s="1259"/>
      <c r="U523" s="1259"/>
      <c r="V523" s="1259"/>
      <c r="W523" s="1259"/>
      <c r="X523" s="1259"/>
      <c r="Y523" s="1259"/>
      <c r="Z523" s="1259"/>
    </row>
    <row r="524" spans="1:26" ht="15.75" customHeight="1">
      <c r="A524" s="1259"/>
      <c r="B524" s="1259"/>
      <c r="C524" s="1259"/>
      <c r="D524" s="1259"/>
      <c r="E524" s="1259"/>
      <c r="F524" s="1259"/>
      <c r="G524" s="1259"/>
      <c r="H524" s="1259"/>
      <c r="I524" s="1259"/>
      <c r="J524" s="1259"/>
      <c r="K524" s="1259"/>
      <c r="L524" s="1259"/>
      <c r="M524" s="1259"/>
      <c r="N524" s="1259"/>
      <c r="O524" s="1259"/>
      <c r="P524" s="1259"/>
      <c r="Q524" s="1259"/>
      <c r="R524" s="1259"/>
      <c r="S524" s="1259"/>
      <c r="T524" s="1259"/>
      <c r="U524" s="1259"/>
      <c r="V524" s="1259"/>
      <c r="W524" s="1259"/>
      <c r="X524" s="1259"/>
      <c r="Y524" s="1259"/>
      <c r="Z524" s="1259"/>
    </row>
    <row r="525" spans="1:26" ht="15.75" customHeight="1">
      <c r="A525" s="1259"/>
      <c r="B525" s="1259"/>
      <c r="C525" s="1259"/>
      <c r="D525" s="1259"/>
      <c r="E525" s="1259"/>
      <c r="F525" s="1259"/>
      <c r="G525" s="1259"/>
      <c r="H525" s="1259"/>
      <c r="I525" s="1259"/>
      <c r="J525" s="1259"/>
      <c r="K525" s="1259"/>
      <c r="L525" s="1259"/>
      <c r="M525" s="1259"/>
      <c r="N525" s="1259"/>
      <c r="O525" s="1259"/>
      <c r="P525" s="1259"/>
      <c r="Q525" s="1259"/>
      <c r="R525" s="1259"/>
      <c r="S525" s="1259"/>
      <c r="T525" s="1259"/>
      <c r="U525" s="1259"/>
      <c r="V525" s="1259"/>
      <c r="W525" s="1259"/>
      <c r="X525" s="1259"/>
      <c r="Y525" s="1259"/>
      <c r="Z525" s="1259"/>
    </row>
    <row r="526" spans="1:26" ht="15.75" customHeight="1">
      <c r="A526" s="1259"/>
      <c r="B526" s="1259"/>
      <c r="C526" s="1259"/>
      <c r="D526" s="1259"/>
      <c r="E526" s="1259"/>
      <c r="F526" s="1259"/>
      <c r="G526" s="1259"/>
      <c r="H526" s="1259"/>
      <c r="I526" s="1259"/>
      <c r="J526" s="1259"/>
      <c r="K526" s="1259"/>
      <c r="L526" s="1259"/>
      <c r="M526" s="1259"/>
      <c r="N526" s="1259"/>
      <c r="O526" s="1259"/>
      <c r="P526" s="1259"/>
      <c r="Q526" s="1259"/>
      <c r="R526" s="1259"/>
      <c r="S526" s="1259"/>
      <c r="T526" s="1259"/>
      <c r="U526" s="1259"/>
      <c r="V526" s="1259"/>
      <c r="W526" s="1259"/>
      <c r="X526" s="1259"/>
      <c r="Y526" s="1259"/>
      <c r="Z526" s="1259"/>
    </row>
    <row r="527" spans="1:26" ht="15.75" customHeight="1">
      <c r="A527" s="1259"/>
      <c r="B527" s="1259"/>
      <c r="C527" s="1259"/>
      <c r="D527" s="1259"/>
      <c r="E527" s="1259"/>
      <c r="F527" s="1259"/>
      <c r="G527" s="1259"/>
      <c r="H527" s="1259"/>
      <c r="I527" s="1259"/>
      <c r="J527" s="1259"/>
      <c r="K527" s="1259"/>
      <c r="L527" s="1259"/>
      <c r="M527" s="1259"/>
      <c r="N527" s="1259"/>
      <c r="O527" s="1259"/>
      <c r="P527" s="1259"/>
      <c r="Q527" s="1259"/>
      <c r="R527" s="1259"/>
      <c r="S527" s="1259"/>
      <c r="T527" s="1259"/>
      <c r="U527" s="1259"/>
      <c r="V527" s="1259"/>
      <c r="W527" s="1259"/>
      <c r="X527" s="1259"/>
      <c r="Y527" s="1259"/>
      <c r="Z527" s="1259"/>
    </row>
    <row r="528" spans="1:26" ht="15.75" customHeight="1">
      <c r="A528" s="1259"/>
      <c r="B528" s="1259"/>
      <c r="C528" s="1259"/>
      <c r="D528" s="1259"/>
      <c r="E528" s="1259"/>
      <c r="F528" s="1259"/>
      <c r="G528" s="1259"/>
      <c r="H528" s="1259"/>
      <c r="I528" s="1259"/>
      <c r="J528" s="1259"/>
      <c r="K528" s="1259"/>
      <c r="L528" s="1259"/>
      <c r="M528" s="1259"/>
      <c r="N528" s="1259"/>
      <c r="O528" s="1259"/>
      <c r="P528" s="1259"/>
      <c r="Q528" s="1259"/>
      <c r="R528" s="1259"/>
      <c r="S528" s="1259"/>
      <c r="T528" s="1259"/>
      <c r="U528" s="1259"/>
      <c r="V528" s="1259"/>
      <c r="W528" s="1259"/>
      <c r="X528" s="1259"/>
      <c r="Y528" s="1259"/>
      <c r="Z528" s="1259"/>
    </row>
    <row r="529" spans="1:26" ht="15.75" customHeight="1">
      <c r="A529" s="1259"/>
      <c r="B529" s="1259"/>
      <c r="C529" s="1259"/>
      <c r="D529" s="1259"/>
      <c r="E529" s="1259"/>
      <c r="F529" s="1259"/>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row>
    <row r="530" spans="1:26" ht="15.75" customHeight="1">
      <c r="A530" s="1259"/>
      <c r="B530" s="1259"/>
      <c r="C530" s="1259"/>
      <c r="D530" s="1259"/>
      <c r="E530" s="1259"/>
      <c r="F530" s="1259"/>
      <c r="G530" s="1259"/>
      <c r="H530" s="1259"/>
      <c r="I530" s="1259"/>
      <c r="J530" s="1259"/>
      <c r="K530" s="1259"/>
      <c r="L530" s="1259"/>
      <c r="M530" s="1259"/>
      <c r="N530" s="1259"/>
      <c r="O530" s="1259"/>
      <c r="P530" s="1259"/>
      <c r="Q530" s="1259"/>
      <c r="R530" s="1259"/>
      <c r="S530" s="1259"/>
      <c r="T530" s="1259"/>
      <c r="U530" s="1259"/>
      <c r="V530" s="1259"/>
      <c r="W530" s="1259"/>
      <c r="X530" s="1259"/>
      <c r="Y530" s="1259"/>
      <c r="Z530" s="1259"/>
    </row>
    <row r="531" spans="1:26" ht="15.75" customHeight="1">
      <c r="A531" s="1259"/>
      <c r="B531" s="1259"/>
      <c r="C531" s="1259"/>
      <c r="D531" s="1259"/>
      <c r="E531" s="1259"/>
      <c r="F531" s="1259"/>
      <c r="G531" s="1259"/>
      <c r="H531" s="1259"/>
      <c r="I531" s="1259"/>
      <c r="J531" s="1259"/>
      <c r="K531" s="1259"/>
      <c r="L531" s="1259"/>
      <c r="M531" s="1259"/>
      <c r="N531" s="1259"/>
      <c r="O531" s="1259"/>
      <c r="P531" s="1259"/>
      <c r="Q531" s="1259"/>
      <c r="R531" s="1259"/>
      <c r="S531" s="1259"/>
      <c r="T531" s="1259"/>
      <c r="U531" s="1259"/>
      <c r="V531" s="1259"/>
      <c r="W531" s="1259"/>
      <c r="X531" s="1259"/>
      <c r="Y531" s="1259"/>
      <c r="Z531" s="1259"/>
    </row>
    <row r="532" spans="1:26" ht="15.75" customHeight="1">
      <c r="A532" s="1259"/>
      <c r="B532" s="1259"/>
      <c r="C532" s="1259"/>
      <c r="D532" s="1259"/>
      <c r="E532" s="1259"/>
      <c r="F532" s="1259"/>
      <c r="G532" s="1259"/>
      <c r="H532" s="1259"/>
      <c r="I532" s="1259"/>
      <c r="J532" s="1259"/>
      <c r="K532" s="1259"/>
      <c r="L532" s="1259"/>
      <c r="M532" s="1259"/>
      <c r="N532" s="1259"/>
      <c r="O532" s="1259"/>
      <c r="P532" s="1259"/>
      <c r="Q532" s="1259"/>
      <c r="R532" s="1259"/>
      <c r="S532" s="1259"/>
      <c r="T532" s="1259"/>
      <c r="U532" s="1259"/>
      <c r="V532" s="1259"/>
      <c r="W532" s="1259"/>
      <c r="X532" s="1259"/>
      <c r="Y532" s="1259"/>
      <c r="Z532" s="1259"/>
    </row>
    <row r="533" spans="1:26" ht="15.75" customHeight="1">
      <c r="A533" s="1259"/>
      <c r="B533" s="1259"/>
      <c r="C533" s="1259"/>
      <c r="D533" s="1259"/>
      <c r="E533" s="1259"/>
      <c r="F533" s="1259"/>
      <c r="G533" s="1259"/>
      <c r="H533" s="1259"/>
      <c r="I533" s="1259"/>
      <c r="J533" s="1259"/>
      <c r="K533" s="1259"/>
      <c r="L533" s="1259"/>
      <c r="M533" s="1259"/>
      <c r="N533" s="1259"/>
      <c r="O533" s="1259"/>
      <c r="P533" s="1259"/>
      <c r="Q533" s="1259"/>
      <c r="R533" s="1259"/>
      <c r="S533" s="1259"/>
      <c r="T533" s="1259"/>
      <c r="U533" s="1259"/>
      <c r="V533" s="1259"/>
      <c r="W533" s="1259"/>
      <c r="X533" s="1259"/>
      <c r="Y533" s="1259"/>
      <c r="Z533" s="1259"/>
    </row>
    <row r="534" spans="1:26" ht="15.75" customHeight="1">
      <c r="A534" s="1259"/>
      <c r="B534" s="1259"/>
      <c r="C534" s="1259"/>
      <c r="D534" s="1259"/>
      <c r="E534" s="1259"/>
      <c r="F534" s="1259"/>
      <c r="G534" s="1259"/>
      <c r="H534" s="1259"/>
      <c r="I534" s="1259"/>
      <c r="J534" s="1259"/>
      <c r="K534" s="1259"/>
      <c r="L534" s="1259"/>
      <c r="M534" s="1259"/>
      <c r="N534" s="1259"/>
      <c r="O534" s="1259"/>
      <c r="P534" s="1259"/>
      <c r="Q534" s="1259"/>
      <c r="R534" s="1259"/>
      <c r="S534" s="1259"/>
      <c r="T534" s="1259"/>
      <c r="U534" s="1259"/>
      <c r="V534" s="1259"/>
      <c r="W534" s="1259"/>
      <c r="X534" s="1259"/>
      <c r="Y534" s="1259"/>
      <c r="Z534" s="1259"/>
    </row>
    <row r="535" spans="1:26" ht="15.75" customHeight="1">
      <c r="A535" s="1259"/>
      <c r="B535" s="1259"/>
      <c r="C535" s="1259"/>
      <c r="D535" s="1259"/>
      <c r="E535" s="1259"/>
      <c r="F535" s="1259"/>
      <c r="G535" s="1259"/>
      <c r="H535" s="1259"/>
      <c r="I535" s="1259"/>
      <c r="J535" s="1259"/>
      <c r="K535" s="1259"/>
      <c r="L535" s="1259"/>
      <c r="M535" s="1259"/>
      <c r="N535" s="1259"/>
      <c r="O535" s="1259"/>
      <c r="P535" s="1259"/>
      <c r="Q535" s="1259"/>
      <c r="R535" s="1259"/>
      <c r="S535" s="1259"/>
      <c r="T535" s="1259"/>
      <c r="U535" s="1259"/>
      <c r="V535" s="1259"/>
      <c r="W535" s="1259"/>
      <c r="X535" s="1259"/>
      <c r="Y535" s="1259"/>
      <c r="Z535" s="1259"/>
    </row>
    <row r="536" spans="1:26" ht="15.75" customHeight="1">
      <c r="A536" s="1259"/>
      <c r="B536" s="1259"/>
      <c r="C536" s="1259"/>
      <c r="D536" s="1259"/>
      <c r="E536" s="1259"/>
      <c r="F536" s="1259"/>
      <c r="G536" s="1259"/>
      <c r="H536" s="1259"/>
      <c r="I536" s="1259"/>
      <c r="J536" s="1259"/>
      <c r="K536" s="1259"/>
      <c r="L536" s="1259"/>
      <c r="M536" s="1259"/>
      <c r="N536" s="1259"/>
      <c r="O536" s="1259"/>
      <c r="P536" s="1259"/>
      <c r="Q536" s="1259"/>
      <c r="R536" s="1259"/>
      <c r="S536" s="1259"/>
      <c r="T536" s="1259"/>
      <c r="U536" s="1259"/>
      <c r="V536" s="1259"/>
      <c r="W536" s="1259"/>
      <c r="X536" s="1259"/>
      <c r="Y536" s="1259"/>
      <c r="Z536" s="1259"/>
    </row>
    <row r="537" spans="1:26" ht="15.75" customHeight="1">
      <c r="A537" s="1259"/>
      <c r="B537" s="1259"/>
      <c r="C537" s="1259"/>
      <c r="D537" s="1259"/>
      <c r="E537" s="1259"/>
      <c r="F537" s="1259"/>
      <c r="G537" s="1259"/>
      <c r="H537" s="1259"/>
      <c r="I537" s="1259"/>
      <c r="J537" s="1259"/>
      <c r="K537" s="1259"/>
      <c r="L537" s="1259"/>
      <c r="M537" s="1259"/>
      <c r="N537" s="1259"/>
      <c r="O537" s="1259"/>
      <c r="P537" s="1259"/>
      <c r="Q537" s="1259"/>
      <c r="R537" s="1259"/>
      <c r="S537" s="1259"/>
      <c r="T537" s="1259"/>
      <c r="U537" s="1259"/>
      <c r="V537" s="1259"/>
      <c r="W537" s="1259"/>
      <c r="X537" s="1259"/>
      <c r="Y537" s="1259"/>
      <c r="Z537" s="1259"/>
    </row>
    <row r="538" spans="1:26" ht="15.75" customHeight="1">
      <c r="A538" s="1259"/>
      <c r="B538" s="1259"/>
      <c r="C538" s="1259"/>
      <c r="D538" s="1259"/>
      <c r="E538" s="1259"/>
      <c r="F538" s="1259"/>
      <c r="G538" s="1259"/>
      <c r="H538" s="1259"/>
      <c r="I538" s="1259"/>
      <c r="J538" s="1259"/>
      <c r="K538" s="1259"/>
      <c r="L538" s="1259"/>
      <c r="M538" s="1259"/>
      <c r="N538" s="1259"/>
      <c r="O538" s="1259"/>
      <c r="P538" s="1259"/>
      <c r="Q538" s="1259"/>
      <c r="R538" s="1259"/>
      <c r="S538" s="1259"/>
      <c r="T538" s="1259"/>
      <c r="U538" s="1259"/>
      <c r="V538" s="1259"/>
      <c r="W538" s="1259"/>
      <c r="X538" s="1259"/>
      <c r="Y538" s="1259"/>
      <c r="Z538" s="1259"/>
    </row>
    <row r="539" spans="1:26" ht="15.75" customHeight="1">
      <c r="A539" s="1259"/>
      <c r="B539" s="1259"/>
      <c r="C539" s="1259"/>
      <c r="D539" s="1259"/>
      <c r="E539" s="1259"/>
      <c r="F539" s="1259"/>
      <c r="G539" s="1259"/>
      <c r="H539" s="1259"/>
      <c r="I539" s="1259"/>
      <c r="J539" s="1259"/>
      <c r="K539" s="1259"/>
      <c r="L539" s="1259"/>
      <c r="M539" s="1259"/>
      <c r="N539" s="1259"/>
      <c r="O539" s="1259"/>
      <c r="P539" s="1259"/>
      <c r="Q539" s="1259"/>
      <c r="R539" s="1259"/>
      <c r="S539" s="1259"/>
      <c r="T539" s="1259"/>
      <c r="U539" s="1259"/>
      <c r="V539" s="1259"/>
      <c r="W539" s="1259"/>
      <c r="X539" s="1259"/>
      <c r="Y539" s="1259"/>
      <c r="Z539" s="1259"/>
    </row>
    <row r="540" spans="1:26" ht="15.75" customHeight="1">
      <c r="A540" s="1259"/>
      <c r="B540" s="1259"/>
      <c r="C540" s="1259"/>
      <c r="D540" s="1259"/>
      <c r="E540" s="1259"/>
      <c r="F540" s="1259"/>
      <c r="G540" s="1259"/>
      <c r="H540" s="1259"/>
      <c r="I540" s="1259"/>
      <c r="J540" s="1259"/>
      <c r="K540" s="1259"/>
      <c r="L540" s="1259"/>
      <c r="M540" s="1259"/>
      <c r="N540" s="1259"/>
      <c r="O540" s="1259"/>
      <c r="P540" s="1259"/>
      <c r="Q540" s="1259"/>
      <c r="R540" s="1259"/>
      <c r="S540" s="1259"/>
      <c r="T540" s="1259"/>
      <c r="U540" s="1259"/>
      <c r="V540" s="1259"/>
      <c r="W540" s="1259"/>
      <c r="X540" s="1259"/>
      <c r="Y540" s="1259"/>
      <c r="Z540" s="1259"/>
    </row>
    <row r="541" spans="1:26" ht="15.75" customHeight="1">
      <c r="A541" s="1259"/>
      <c r="B541" s="1259"/>
      <c r="C541" s="1259"/>
      <c r="D541" s="1259"/>
      <c r="E541" s="1259"/>
      <c r="F541" s="1259"/>
      <c r="G541" s="1259"/>
      <c r="H541" s="1259"/>
      <c r="I541" s="1259"/>
      <c r="J541" s="1259"/>
      <c r="K541" s="1259"/>
      <c r="L541" s="1259"/>
      <c r="M541" s="1259"/>
      <c r="N541" s="1259"/>
      <c r="O541" s="1259"/>
      <c r="P541" s="1259"/>
      <c r="Q541" s="1259"/>
      <c r="R541" s="1259"/>
      <c r="S541" s="1259"/>
      <c r="T541" s="1259"/>
      <c r="U541" s="1259"/>
      <c r="V541" s="1259"/>
      <c r="W541" s="1259"/>
      <c r="X541" s="1259"/>
      <c r="Y541" s="1259"/>
      <c r="Z541" s="1259"/>
    </row>
    <row r="542" spans="1:26" ht="15.75" customHeight="1">
      <c r="A542" s="1259"/>
      <c r="B542" s="1259"/>
      <c r="C542" s="1259"/>
      <c r="D542" s="1259"/>
      <c r="E542" s="1259"/>
      <c r="F542" s="1259"/>
      <c r="G542" s="1259"/>
      <c r="H542" s="1259"/>
      <c r="I542" s="1259"/>
      <c r="J542" s="1259"/>
      <c r="K542" s="1259"/>
      <c r="L542" s="1259"/>
      <c r="M542" s="1259"/>
      <c r="N542" s="1259"/>
      <c r="O542" s="1259"/>
      <c r="P542" s="1259"/>
      <c r="Q542" s="1259"/>
      <c r="R542" s="1259"/>
      <c r="S542" s="1259"/>
      <c r="T542" s="1259"/>
      <c r="U542" s="1259"/>
      <c r="V542" s="1259"/>
      <c r="W542" s="1259"/>
      <c r="X542" s="1259"/>
      <c r="Y542" s="1259"/>
      <c r="Z542" s="1259"/>
    </row>
    <row r="543" spans="1:26" ht="15.75" customHeight="1">
      <c r="A543" s="1259"/>
      <c r="B543" s="1259"/>
      <c r="C543" s="1259"/>
      <c r="D543" s="1259"/>
      <c r="E543" s="1259"/>
      <c r="F543" s="1259"/>
      <c r="G543" s="1259"/>
      <c r="H543" s="1259"/>
      <c r="I543" s="1259"/>
      <c r="J543" s="1259"/>
      <c r="K543" s="1259"/>
      <c r="L543" s="1259"/>
      <c r="M543" s="1259"/>
      <c r="N543" s="1259"/>
      <c r="O543" s="1259"/>
      <c r="P543" s="1259"/>
      <c r="Q543" s="1259"/>
      <c r="R543" s="1259"/>
      <c r="S543" s="1259"/>
      <c r="T543" s="1259"/>
      <c r="U543" s="1259"/>
      <c r="V543" s="1259"/>
      <c r="W543" s="1259"/>
      <c r="X543" s="1259"/>
      <c r="Y543" s="1259"/>
      <c r="Z543" s="1259"/>
    </row>
    <row r="544" spans="1:26" ht="15.75" customHeight="1">
      <c r="A544" s="1259"/>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row>
    <row r="545" spans="1:26" ht="15.7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row>
    <row r="546" spans="1:26" ht="15.75" customHeight="1">
      <c r="A546" s="1259"/>
      <c r="B546" s="1259"/>
      <c r="C546" s="1259"/>
      <c r="D546" s="1259"/>
      <c r="E546" s="1259"/>
      <c r="F546" s="1259"/>
      <c r="G546" s="1259"/>
      <c r="H546" s="1259"/>
      <c r="I546" s="1259"/>
      <c r="J546" s="1259"/>
      <c r="K546" s="1259"/>
      <c r="L546" s="1259"/>
      <c r="M546" s="1259"/>
      <c r="N546" s="1259"/>
      <c r="O546" s="1259"/>
      <c r="P546" s="1259"/>
      <c r="Q546" s="1259"/>
      <c r="R546" s="1259"/>
      <c r="S546" s="1259"/>
      <c r="T546" s="1259"/>
      <c r="U546" s="1259"/>
      <c r="V546" s="1259"/>
      <c r="W546" s="1259"/>
      <c r="X546" s="1259"/>
      <c r="Y546" s="1259"/>
      <c r="Z546" s="1259"/>
    </row>
    <row r="547" spans="1:26" ht="15.75" customHeight="1">
      <c r="A547" s="1259"/>
      <c r="B547" s="1259"/>
      <c r="C547" s="1259"/>
      <c r="D547" s="1259"/>
      <c r="E547" s="1259"/>
      <c r="F547" s="1259"/>
      <c r="G547" s="1259"/>
      <c r="H547" s="1259"/>
      <c r="I547" s="1259"/>
      <c r="J547" s="1259"/>
      <c r="K547" s="1259"/>
      <c r="L547" s="1259"/>
      <c r="M547" s="1259"/>
      <c r="N547" s="1259"/>
      <c r="O547" s="1259"/>
      <c r="P547" s="1259"/>
      <c r="Q547" s="1259"/>
      <c r="R547" s="1259"/>
      <c r="S547" s="1259"/>
      <c r="T547" s="1259"/>
      <c r="U547" s="1259"/>
      <c r="V547" s="1259"/>
      <c r="W547" s="1259"/>
      <c r="X547" s="1259"/>
      <c r="Y547" s="1259"/>
      <c r="Z547" s="1259"/>
    </row>
    <row r="548" spans="1:26" ht="15.75" customHeight="1">
      <c r="A548" s="1259"/>
      <c r="B548" s="1259"/>
      <c r="C548" s="1259"/>
      <c r="D548" s="1259"/>
      <c r="E548" s="1259"/>
      <c r="F548" s="1259"/>
      <c r="G548" s="1259"/>
      <c r="H548" s="1259"/>
      <c r="I548" s="1259"/>
      <c r="J548" s="1259"/>
      <c r="K548" s="1259"/>
      <c r="L548" s="1259"/>
      <c r="M548" s="1259"/>
      <c r="N548" s="1259"/>
      <c r="O548" s="1259"/>
      <c r="P548" s="1259"/>
      <c r="Q548" s="1259"/>
      <c r="R548" s="1259"/>
      <c r="S548" s="1259"/>
      <c r="T548" s="1259"/>
      <c r="U548" s="1259"/>
      <c r="V548" s="1259"/>
      <c r="W548" s="1259"/>
      <c r="X548" s="1259"/>
      <c r="Y548" s="1259"/>
      <c r="Z548" s="1259"/>
    </row>
    <row r="549" spans="1:26" ht="15.75" customHeight="1">
      <c r="A549" s="1259"/>
      <c r="B549" s="1259"/>
      <c r="C549" s="1259"/>
      <c r="D549" s="1259"/>
      <c r="E549" s="1259"/>
      <c r="F549" s="1259"/>
      <c r="G549" s="1259"/>
      <c r="H549" s="1259"/>
      <c r="I549" s="1259"/>
      <c r="J549" s="1259"/>
      <c r="K549" s="1259"/>
      <c r="L549" s="1259"/>
      <c r="M549" s="1259"/>
      <c r="N549" s="1259"/>
      <c r="O549" s="1259"/>
      <c r="P549" s="1259"/>
      <c r="Q549" s="1259"/>
      <c r="R549" s="1259"/>
      <c r="S549" s="1259"/>
      <c r="T549" s="1259"/>
      <c r="U549" s="1259"/>
      <c r="V549" s="1259"/>
      <c r="W549" s="1259"/>
      <c r="X549" s="1259"/>
      <c r="Y549" s="1259"/>
      <c r="Z549" s="1259"/>
    </row>
    <row r="550" spans="1:26" ht="15.75" customHeight="1">
      <c r="A550" s="1259"/>
      <c r="B550" s="1259"/>
      <c r="C550" s="1259"/>
      <c r="D550" s="1259"/>
      <c r="E550" s="1259"/>
      <c r="F550" s="1259"/>
      <c r="G550" s="1259"/>
      <c r="H550" s="1259"/>
      <c r="I550" s="1259"/>
      <c r="J550" s="1259"/>
      <c r="K550" s="1259"/>
      <c r="L550" s="1259"/>
      <c r="M550" s="1259"/>
      <c r="N550" s="1259"/>
      <c r="O550" s="1259"/>
      <c r="P550" s="1259"/>
      <c r="Q550" s="1259"/>
      <c r="R550" s="1259"/>
      <c r="S550" s="1259"/>
      <c r="T550" s="1259"/>
      <c r="U550" s="1259"/>
      <c r="V550" s="1259"/>
      <c r="W550" s="1259"/>
      <c r="X550" s="1259"/>
      <c r="Y550" s="1259"/>
      <c r="Z550" s="1259"/>
    </row>
    <row r="551" spans="1:26" ht="15.75" customHeight="1">
      <c r="A551" s="1259"/>
      <c r="B551" s="1259"/>
      <c r="C551" s="1259"/>
      <c r="D551" s="1259"/>
      <c r="E551" s="1259"/>
      <c r="F551" s="1259"/>
      <c r="G551" s="1259"/>
      <c r="H551" s="1259"/>
      <c r="I551" s="1259"/>
      <c r="J551" s="1259"/>
      <c r="K551" s="1259"/>
      <c r="L551" s="1259"/>
      <c r="M551" s="1259"/>
      <c r="N551" s="1259"/>
      <c r="O551" s="1259"/>
      <c r="P551" s="1259"/>
      <c r="Q551" s="1259"/>
      <c r="R551" s="1259"/>
      <c r="S551" s="1259"/>
      <c r="T551" s="1259"/>
      <c r="U551" s="1259"/>
      <c r="V551" s="1259"/>
      <c r="W551" s="1259"/>
      <c r="X551" s="1259"/>
      <c r="Y551" s="1259"/>
      <c r="Z551" s="1259"/>
    </row>
    <row r="552" spans="1:26" ht="15.75" customHeight="1">
      <c r="A552" s="1259"/>
      <c r="B552" s="1259"/>
      <c r="C552" s="1259"/>
      <c r="D552" s="1259"/>
      <c r="E552" s="1259"/>
      <c r="F552" s="1259"/>
      <c r="G552" s="1259"/>
      <c r="H552" s="1259"/>
      <c r="I552" s="1259"/>
      <c r="J552" s="1259"/>
      <c r="K552" s="1259"/>
      <c r="L552" s="1259"/>
      <c r="M552" s="1259"/>
      <c r="N552" s="1259"/>
      <c r="O552" s="1259"/>
      <c r="P552" s="1259"/>
      <c r="Q552" s="1259"/>
      <c r="R552" s="1259"/>
      <c r="S552" s="1259"/>
      <c r="T552" s="1259"/>
      <c r="U552" s="1259"/>
      <c r="V552" s="1259"/>
      <c r="W552" s="1259"/>
      <c r="X552" s="1259"/>
      <c r="Y552" s="1259"/>
      <c r="Z552" s="1259"/>
    </row>
    <row r="553" spans="1:26" ht="15.75" customHeight="1">
      <c r="A553" s="1259"/>
      <c r="B553" s="1259"/>
      <c r="C553" s="1259"/>
      <c r="D553" s="1259"/>
      <c r="E553" s="1259"/>
      <c r="F553" s="1259"/>
      <c r="G553" s="1259"/>
      <c r="H553" s="1259"/>
      <c r="I553" s="1259"/>
      <c r="J553" s="1259"/>
      <c r="K553" s="1259"/>
      <c r="L553" s="1259"/>
      <c r="M553" s="1259"/>
      <c r="N553" s="1259"/>
      <c r="O553" s="1259"/>
      <c r="P553" s="1259"/>
      <c r="Q553" s="1259"/>
      <c r="R553" s="1259"/>
      <c r="S553" s="1259"/>
      <c r="T553" s="1259"/>
      <c r="U553" s="1259"/>
      <c r="V553" s="1259"/>
      <c r="W553" s="1259"/>
      <c r="X553" s="1259"/>
      <c r="Y553" s="1259"/>
      <c r="Z553" s="1259"/>
    </row>
    <row r="554" spans="1:26" ht="15.75" customHeight="1">
      <c r="A554" s="1259"/>
      <c r="B554" s="1259"/>
      <c r="C554" s="1259"/>
      <c r="D554" s="1259"/>
      <c r="E554" s="1259"/>
      <c r="F554" s="1259"/>
      <c r="G554" s="1259"/>
      <c r="H554" s="1259"/>
      <c r="I554" s="1259"/>
      <c r="J554" s="1259"/>
      <c r="K554" s="1259"/>
      <c r="L554" s="1259"/>
      <c r="M554" s="1259"/>
      <c r="N554" s="1259"/>
      <c r="O554" s="1259"/>
      <c r="P554" s="1259"/>
      <c r="Q554" s="1259"/>
      <c r="R554" s="1259"/>
      <c r="S554" s="1259"/>
      <c r="T554" s="1259"/>
      <c r="U554" s="1259"/>
      <c r="V554" s="1259"/>
      <c r="W554" s="1259"/>
      <c r="X554" s="1259"/>
      <c r="Y554" s="1259"/>
      <c r="Z554" s="1259"/>
    </row>
    <row r="555" spans="1:26" ht="15.75" customHeight="1">
      <c r="A555" s="1259"/>
      <c r="B555" s="1259"/>
      <c r="C555" s="1259"/>
      <c r="D555" s="1259"/>
      <c r="E555" s="1259"/>
      <c r="F555" s="1259"/>
      <c r="G555" s="1259"/>
      <c r="H555" s="1259"/>
      <c r="I555" s="1259"/>
      <c r="J555" s="1259"/>
      <c r="K555" s="1259"/>
      <c r="L555" s="1259"/>
      <c r="M555" s="1259"/>
      <c r="N555" s="1259"/>
      <c r="O555" s="1259"/>
      <c r="P555" s="1259"/>
      <c r="Q555" s="1259"/>
      <c r="R555" s="1259"/>
      <c r="S555" s="1259"/>
      <c r="T555" s="1259"/>
      <c r="U555" s="1259"/>
      <c r="V555" s="1259"/>
      <c r="W555" s="1259"/>
      <c r="X555" s="1259"/>
      <c r="Y555" s="1259"/>
      <c r="Z555" s="1259"/>
    </row>
    <row r="556" spans="1:26" ht="15.75" customHeight="1">
      <c r="A556" s="1259"/>
      <c r="B556" s="1259"/>
      <c r="C556" s="1259"/>
      <c r="D556" s="1259"/>
      <c r="E556" s="1259"/>
      <c r="F556" s="1259"/>
      <c r="G556" s="1259"/>
      <c r="H556" s="1259"/>
      <c r="I556" s="1259"/>
      <c r="J556" s="1259"/>
      <c r="K556" s="1259"/>
      <c r="L556" s="1259"/>
      <c r="M556" s="1259"/>
      <c r="N556" s="1259"/>
      <c r="O556" s="1259"/>
      <c r="P556" s="1259"/>
      <c r="Q556" s="1259"/>
      <c r="R556" s="1259"/>
      <c r="S556" s="1259"/>
      <c r="T556" s="1259"/>
      <c r="U556" s="1259"/>
      <c r="V556" s="1259"/>
      <c r="W556" s="1259"/>
      <c r="X556" s="1259"/>
      <c r="Y556" s="1259"/>
      <c r="Z556" s="1259"/>
    </row>
    <row r="557" spans="1:26" ht="15.75" customHeight="1">
      <c r="A557" s="1259"/>
      <c r="B557" s="1259"/>
      <c r="C557" s="1259"/>
      <c r="D557" s="1259"/>
      <c r="E557" s="1259"/>
      <c r="F557" s="1259"/>
      <c r="G557" s="1259"/>
      <c r="H557" s="1259"/>
      <c r="I557" s="1259"/>
      <c r="J557" s="1259"/>
      <c r="K557" s="1259"/>
      <c r="L557" s="1259"/>
      <c r="M557" s="1259"/>
      <c r="N557" s="1259"/>
      <c r="O557" s="1259"/>
      <c r="P557" s="1259"/>
      <c r="Q557" s="1259"/>
      <c r="R557" s="1259"/>
      <c r="S557" s="1259"/>
      <c r="T557" s="1259"/>
      <c r="U557" s="1259"/>
      <c r="V557" s="1259"/>
      <c r="W557" s="1259"/>
      <c r="X557" s="1259"/>
      <c r="Y557" s="1259"/>
      <c r="Z557" s="1259"/>
    </row>
    <row r="558" spans="1:26" ht="15.75" customHeight="1">
      <c r="A558" s="1259"/>
      <c r="B558" s="1259"/>
      <c r="C558" s="1259"/>
      <c r="D558" s="1259"/>
      <c r="E558" s="1259"/>
      <c r="F558" s="1259"/>
      <c r="G558" s="1259"/>
      <c r="H558" s="1259"/>
      <c r="I558" s="1259"/>
      <c r="J558" s="1259"/>
      <c r="K558" s="1259"/>
      <c r="L558" s="1259"/>
      <c r="M558" s="1259"/>
      <c r="N558" s="1259"/>
      <c r="O558" s="1259"/>
      <c r="P558" s="1259"/>
      <c r="Q558" s="1259"/>
      <c r="R558" s="1259"/>
      <c r="S558" s="1259"/>
      <c r="T558" s="1259"/>
      <c r="U558" s="1259"/>
      <c r="V558" s="1259"/>
      <c r="W558" s="1259"/>
      <c r="X558" s="1259"/>
      <c r="Y558" s="1259"/>
      <c r="Z558" s="1259"/>
    </row>
    <row r="559" spans="1:26" ht="15.75" customHeight="1">
      <c r="A559" s="1259"/>
      <c r="B559" s="1259"/>
      <c r="C559" s="1259"/>
      <c r="D559" s="1259"/>
      <c r="E559" s="1259"/>
      <c r="F559" s="1259"/>
      <c r="G559" s="1259"/>
      <c r="H559" s="1259"/>
      <c r="I559" s="1259"/>
      <c r="J559" s="1259"/>
      <c r="K559" s="1259"/>
      <c r="L559" s="1259"/>
      <c r="M559" s="1259"/>
      <c r="N559" s="1259"/>
      <c r="O559" s="1259"/>
      <c r="P559" s="1259"/>
      <c r="Q559" s="1259"/>
      <c r="R559" s="1259"/>
      <c r="S559" s="1259"/>
      <c r="T559" s="1259"/>
      <c r="U559" s="1259"/>
      <c r="V559" s="1259"/>
      <c r="W559" s="1259"/>
      <c r="X559" s="1259"/>
      <c r="Y559" s="1259"/>
      <c r="Z559" s="1259"/>
    </row>
    <row r="560" spans="1:26" ht="15.75" customHeight="1">
      <c r="A560" s="1259"/>
      <c r="B560" s="1259"/>
      <c r="C560" s="1259"/>
      <c r="D560" s="1259"/>
      <c r="E560" s="1259"/>
      <c r="F560" s="1259"/>
      <c r="G560" s="1259"/>
      <c r="H560" s="1259"/>
      <c r="I560" s="1259"/>
      <c r="J560" s="1259"/>
      <c r="K560" s="1259"/>
      <c r="L560" s="1259"/>
      <c r="M560" s="1259"/>
      <c r="N560" s="1259"/>
      <c r="O560" s="1259"/>
      <c r="P560" s="1259"/>
      <c r="Q560" s="1259"/>
      <c r="R560" s="1259"/>
      <c r="S560" s="1259"/>
      <c r="T560" s="1259"/>
      <c r="U560" s="1259"/>
      <c r="V560" s="1259"/>
      <c r="W560" s="1259"/>
      <c r="X560" s="1259"/>
      <c r="Y560" s="1259"/>
      <c r="Z560" s="1259"/>
    </row>
    <row r="561" spans="1:26" ht="15.75" customHeight="1">
      <c r="A561" s="1259"/>
      <c r="B561" s="1259"/>
      <c r="C561" s="1259"/>
      <c r="D561" s="1259"/>
      <c r="E561" s="1259"/>
      <c r="F561" s="1259"/>
      <c r="G561" s="1259"/>
      <c r="H561" s="1259"/>
      <c r="I561" s="1259"/>
      <c r="J561" s="1259"/>
      <c r="K561" s="1259"/>
      <c r="L561" s="1259"/>
      <c r="M561" s="1259"/>
      <c r="N561" s="1259"/>
      <c r="O561" s="1259"/>
      <c r="P561" s="1259"/>
      <c r="Q561" s="1259"/>
      <c r="R561" s="1259"/>
      <c r="S561" s="1259"/>
      <c r="T561" s="1259"/>
      <c r="U561" s="1259"/>
      <c r="V561" s="1259"/>
      <c r="W561" s="1259"/>
      <c r="X561" s="1259"/>
      <c r="Y561" s="1259"/>
      <c r="Z561" s="1259"/>
    </row>
    <row r="562" spans="1:26" ht="15.75" customHeight="1">
      <c r="A562" s="1259"/>
      <c r="B562" s="1259"/>
      <c r="C562" s="1259"/>
      <c r="D562" s="1259"/>
      <c r="E562" s="1259"/>
      <c r="F562" s="1259"/>
      <c r="G562" s="1259"/>
      <c r="H562" s="1259"/>
      <c r="I562" s="1259"/>
      <c r="J562" s="1259"/>
      <c r="K562" s="1259"/>
      <c r="L562" s="1259"/>
      <c r="M562" s="1259"/>
      <c r="N562" s="1259"/>
      <c r="O562" s="1259"/>
      <c r="P562" s="1259"/>
      <c r="Q562" s="1259"/>
      <c r="R562" s="1259"/>
      <c r="S562" s="1259"/>
      <c r="T562" s="1259"/>
      <c r="U562" s="1259"/>
      <c r="V562" s="1259"/>
      <c r="W562" s="1259"/>
      <c r="X562" s="1259"/>
      <c r="Y562" s="1259"/>
      <c r="Z562" s="1259"/>
    </row>
    <row r="563" spans="1:26" ht="15.75" customHeight="1">
      <c r="A563" s="1259"/>
      <c r="B563" s="1259"/>
      <c r="C563" s="1259"/>
      <c r="D563" s="1259"/>
      <c r="E563" s="1259"/>
      <c r="F563" s="1259"/>
      <c r="G563" s="1259"/>
      <c r="H563" s="1259"/>
      <c r="I563" s="1259"/>
      <c r="J563" s="1259"/>
      <c r="K563" s="1259"/>
      <c r="L563" s="1259"/>
      <c r="M563" s="1259"/>
      <c r="N563" s="1259"/>
      <c r="O563" s="1259"/>
      <c r="P563" s="1259"/>
      <c r="Q563" s="1259"/>
      <c r="R563" s="1259"/>
      <c r="S563" s="1259"/>
      <c r="T563" s="1259"/>
      <c r="U563" s="1259"/>
      <c r="V563" s="1259"/>
      <c r="W563" s="1259"/>
      <c r="X563" s="1259"/>
      <c r="Y563" s="1259"/>
      <c r="Z563" s="1259"/>
    </row>
    <row r="564" spans="1:26" ht="15.75" customHeight="1">
      <c r="A564" s="1259"/>
      <c r="B564" s="1259"/>
      <c r="C564" s="1259"/>
      <c r="D564" s="1259"/>
      <c r="E564" s="1259"/>
      <c r="F564" s="1259"/>
      <c r="G564" s="1259"/>
      <c r="H564" s="1259"/>
      <c r="I564" s="1259"/>
      <c r="J564" s="1259"/>
      <c r="K564" s="1259"/>
      <c r="L564" s="1259"/>
      <c r="M564" s="1259"/>
      <c r="N564" s="1259"/>
      <c r="O564" s="1259"/>
      <c r="P564" s="1259"/>
      <c r="Q564" s="1259"/>
      <c r="R564" s="1259"/>
      <c r="S564" s="1259"/>
      <c r="T564" s="1259"/>
      <c r="U564" s="1259"/>
      <c r="V564" s="1259"/>
      <c r="W564" s="1259"/>
      <c r="X564" s="1259"/>
      <c r="Y564" s="1259"/>
      <c r="Z564" s="1259"/>
    </row>
    <row r="565" spans="1:26" ht="15.75" customHeight="1">
      <c r="A565" s="1259"/>
      <c r="B565" s="1259"/>
      <c r="C565" s="1259"/>
      <c r="D565" s="1259"/>
      <c r="E565" s="1259"/>
      <c r="F565" s="1259"/>
      <c r="G565" s="1259"/>
      <c r="H565" s="1259"/>
      <c r="I565" s="1259"/>
      <c r="J565" s="1259"/>
      <c r="K565" s="1259"/>
      <c r="L565" s="1259"/>
      <c r="M565" s="1259"/>
      <c r="N565" s="1259"/>
      <c r="O565" s="1259"/>
      <c r="P565" s="1259"/>
      <c r="Q565" s="1259"/>
      <c r="R565" s="1259"/>
      <c r="S565" s="1259"/>
      <c r="T565" s="1259"/>
      <c r="U565" s="1259"/>
      <c r="V565" s="1259"/>
      <c r="W565" s="1259"/>
      <c r="X565" s="1259"/>
      <c r="Y565" s="1259"/>
      <c r="Z565" s="1259"/>
    </row>
    <row r="566" spans="1:26" ht="15.75" customHeight="1">
      <c r="A566" s="1259"/>
      <c r="B566" s="1259"/>
      <c r="C566" s="1259"/>
      <c r="D566" s="1259"/>
      <c r="E566" s="1259"/>
      <c r="F566" s="1259"/>
      <c r="G566" s="1259"/>
      <c r="H566" s="1259"/>
      <c r="I566" s="1259"/>
      <c r="J566" s="1259"/>
      <c r="K566" s="1259"/>
      <c r="L566" s="1259"/>
      <c r="M566" s="1259"/>
      <c r="N566" s="1259"/>
      <c r="O566" s="1259"/>
      <c r="P566" s="1259"/>
      <c r="Q566" s="1259"/>
      <c r="R566" s="1259"/>
      <c r="S566" s="1259"/>
      <c r="T566" s="1259"/>
      <c r="U566" s="1259"/>
      <c r="V566" s="1259"/>
      <c r="W566" s="1259"/>
      <c r="X566" s="1259"/>
      <c r="Y566" s="1259"/>
      <c r="Z566" s="1259"/>
    </row>
    <row r="567" spans="1:26" ht="15.75" customHeight="1">
      <c r="A567" s="1259"/>
      <c r="B567" s="1259"/>
      <c r="C567" s="1259"/>
      <c r="D567" s="1259"/>
      <c r="E567" s="1259"/>
      <c r="F567" s="1259"/>
      <c r="G567" s="1259"/>
      <c r="H567" s="1259"/>
      <c r="I567" s="1259"/>
      <c r="J567" s="1259"/>
      <c r="K567" s="1259"/>
      <c r="L567" s="1259"/>
      <c r="M567" s="1259"/>
      <c r="N567" s="1259"/>
      <c r="O567" s="1259"/>
      <c r="P567" s="1259"/>
      <c r="Q567" s="1259"/>
      <c r="R567" s="1259"/>
      <c r="S567" s="1259"/>
      <c r="T567" s="1259"/>
      <c r="U567" s="1259"/>
      <c r="V567" s="1259"/>
      <c r="W567" s="1259"/>
      <c r="X567" s="1259"/>
      <c r="Y567" s="1259"/>
      <c r="Z567" s="1259"/>
    </row>
    <row r="568" spans="1:26" ht="15.75" customHeight="1">
      <c r="A568" s="1259"/>
      <c r="B568" s="1259"/>
      <c r="C568" s="1259"/>
      <c r="D568" s="1259"/>
      <c r="E568" s="1259"/>
      <c r="F568" s="1259"/>
      <c r="G568" s="1259"/>
      <c r="H568" s="1259"/>
      <c r="I568" s="1259"/>
      <c r="J568" s="1259"/>
      <c r="K568" s="1259"/>
      <c r="L568" s="1259"/>
      <c r="M568" s="1259"/>
      <c r="N568" s="1259"/>
      <c r="O568" s="1259"/>
      <c r="P568" s="1259"/>
      <c r="Q568" s="1259"/>
      <c r="R568" s="1259"/>
      <c r="S568" s="1259"/>
      <c r="T568" s="1259"/>
      <c r="U568" s="1259"/>
      <c r="V568" s="1259"/>
      <c r="W568" s="1259"/>
      <c r="X568" s="1259"/>
      <c r="Y568" s="1259"/>
      <c r="Z568" s="1259"/>
    </row>
    <row r="569" spans="1:26" ht="15.75" customHeight="1">
      <c r="A569" s="1259"/>
      <c r="B569" s="1259"/>
      <c r="C569" s="1259"/>
      <c r="D569" s="1259"/>
      <c r="E569" s="1259"/>
      <c r="F569" s="1259"/>
      <c r="G569" s="1259"/>
      <c r="H569" s="1259"/>
      <c r="I569" s="1259"/>
      <c r="J569" s="1259"/>
      <c r="K569" s="1259"/>
      <c r="L569" s="1259"/>
      <c r="M569" s="1259"/>
      <c r="N569" s="1259"/>
      <c r="O569" s="1259"/>
      <c r="P569" s="1259"/>
      <c r="Q569" s="1259"/>
      <c r="R569" s="1259"/>
      <c r="S569" s="1259"/>
      <c r="T569" s="1259"/>
      <c r="U569" s="1259"/>
      <c r="V569" s="1259"/>
      <c r="W569" s="1259"/>
      <c r="X569" s="1259"/>
      <c r="Y569" s="1259"/>
      <c r="Z569" s="1259"/>
    </row>
    <row r="570" spans="1:26" ht="15.75" customHeight="1">
      <c r="A570" s="1259"/>
      <c r="B570" s="1259"/>
      <c r="C570" s="1259"/>
      <c r="D570" s="1259"/>
      <c r="E570" s="1259"/>
      <c r="F570" s="1259"/>
      <c r="G570" s="1259"/>
      <c r="H570" s="1259"/>
      <c r="I570" s="1259"/>
      <c r="J570" s="1259"/>
      <c r="K570" s="1259"/>
      <c r="L570" s="1259"/>
      <c r="M570" s="1259"/>
      <c r="N570" s="1259"/>
      <c r="O570" s="1259"/>
      <c r="P570" s="1259"/>
      <c r="Q570" s="1259"/>
      <c r="R570" s="1259"/>
      <c r="S570" s="1259"/>
      <c r="T570" s="1259"/>
      <c r="U570" s="1259"/>
      <c r="V570" s="1259"/>
      <c r="W570" s="1259"/>
      <c r="X570" s="1259"/>
      <c r="Y570" s="1259"/>
      <c r="Z570" s="1259"/>
    </row>
    <row r="571" spans="1:26" ht="15.75" customHeight="1">
      <c r="A571" s="1259"/>
      <c r="B571" s="1259"/>
      <c r="C571" s="1259"/>
      <c r="D571" s="1259"/>
      <c r="E571" s="1259"/>
      <c r="F571" s="1259"/>
      <c r="G571" s="1259"/>
      <c r="H571" s="1259"/>
      <c r="I571" s="1259"/>
      <c r="J571" s="1259"/>
      <c r="K571" s="1259"/>
      <c r="L571" s="1259"/>
      <c r="M571" s="1259"/>
      <c r="N571" s="1259"/>
      <c r="O571" s="1259"/>
      <c r="P571" s="1259"/>
      <c r="Q571" s="1259"/>
      <c r="R571" s="1259"/>
      <c r="S571" s="1259"/>
      <c r="T571" s="1259"/>
      <c r="U571" s="1259"/>
      <c r="V571" s="1259"/>
      <c r="W571" s="1259"/>
      <c r="X571" s="1259"/>
      <c r="Y571" s="1259"/>
      <c r="Z571" s="1259"/>
    </row>
    <row r="572" spans="1:26" ht="15.75" customHeight="1">
      <c r="A572" s="1259"/>
      <c r="B572" s="1259"/>
      <c r="C572" s="1259"/>
      <c r="D572" s="1259"/>
      <c r="E572" s="1259"/>
      <c r="F572" s="1259"/>
      <c r="G572" s="1259"/>
      <c r="H572" s="1259"/>
      <c r="I572" s="1259"/>
      <c r="J572" s="1259"/>
      <c r="K572" s="1259"/>
      <c r="L572" s="1259"/>
      <c r="M572" s="1259"/>
      <c r="N572" s="1259"/>
      <c r="O572" s="1259"/>
      <c r="P572" s="1259"/>
      <c r="Q572" s="1259"/>
      <c r="R572" s="1259"/>
      <c r="S572" s="1259"/>
      <c r="T572" s="1259"/>
      <c r="U572" s="1259"/>
      <c r="V572" s="1259"/>
      <c r="W572" s="1259"/>
      <c r="X572" s="1259"/>
      <c r="Y572" s="1259"/>
      <c r="Z572" s="1259"/>
    </row>
    <row r="573" spans="1:26" ht="15.75" customHeight="1">
      <c r="A573" s="1259"/>
      <c r="B573" s="1259"/>
      <c r="C573" s="1259"/>
      <c r="D573" s="1259"/>
      <c r="E573" s="1259"/>
      <c r="F573" s="1259"/>
      <c r="G573" s="1259"/>
      <c r="H573" s="1259"/>
      <c r="I573" s="1259"/>
      <c r="J573" s="1259"/>
      <c r="K573" s="1259"/>
      <c r="L573" s="1259"/>
      <c r="M573" s="1259"/>
      <c r="N573" s="1259"/>
      <c r="O573" s="1259"/>
      <c r="P573" s="1259"/>
      <c r="Q573" s="1259"/>
      <c r="R573" s="1259"/>
      <c r="S573" s="1259"/>
      <c r="T573" s="1259"/>
      <c r="U573" s="1259"/>
      <c r="V573" s="1259"/>
      <c r="W573" s="1259"/>
      <c r="X573" s="1259"/>
      <c r="Y573" s="1259"/>
      <c r="Z573" s="1259"/>
    </row>
    <row r="574" spans="1:26" ht="15.75" customHeight="1">
      <c r="A574" s="1259"/>
      <c r="B574" s="1259"/>
      <c r="C574" s="1259"/>
      <c r="D574" s="1259"/>
      <c r="E574" s="1259"/>
      <c r="F574" s="1259"/>
      <c r="G574" s="1259"/>
      <c r="H574" s="1259"/>
      <c r="I574" s="1259"/>
      <c r="J574" s="1259"/>
      <c r="K574" s="1259"/>
      <c r="L574" s="1259"/>
      <c r="M574" s="1259"/>
      <c r="N574" s="1259"/>
      <c r="O574" s="1259"/>
      <c r="P574" s="1259"/>
      <c r="Q574" s="1259"/>
      <c r="R574" s="1259"/>
      <c r="S574" s="1259"/>
      <c r="T574" s="1259"/>
      <c r="U574" s="1259"/>
      <c r="V574" s="1259"/>
      <c r="W574" s="1259"/>
      <c r="X574" s="1259"/>
      <c r="Y574" s="1259"/>
      <c r="Z574" s="1259"/>
    </row>
    <row r="575" spans="1:26" ht="15.75" customHeight="1">
      <c r="A575" s="1259"/>
      <c r="B575" s="1259"/>
      <c r="C575" s="1259"/>
      <c r="D575" s="1259"/>
      <c r="E575" s="1259"/>
      <c r="F575" s="1259"/>
      <c r="G575" s="1259"/>
      <c r="H575" s="1259"/>
      <c r="I575" s="1259"/>
      <c r="J575" s="1259"/>
      <c r="K575" s="1259"/>
      <c r="L575" s="1259"/>
      <c r="M575" s="1259"/>
      <c r="N575" s="1259"/>
      <c r="O575" s="1259"/>
      <c r="P575" s="1259"/>
      <c r="Q575" s="1259"/>
      <c r="R575" s="1259"/>
      <c r="S575" s="1259"/>
      <c r="T575" s="1259"/>
      <c r="U575" s="1259"/>
      <c r="V575" s="1259"/>
      <c r="W575" s="1259"/>
      <c r="X575" s="1259"/>
      <c r="Y575" s="1259"/>
      <c r="Z575" s="1259"/>
    </row>
    <row r="576" spans="1:26" ht="15.75" customHeight="1">
      <c r="A576" s="1259"/>
      <c r="B576" s="1259"/>
      <c r="C576" s="1259"/>
      <c r="D576" s="1259"/>
      <c r="E576" s="1259"/>
      <c r="F576" s="1259"/>
      <c r="G576" s="1259"/>
      <c r="H576" s="1259"/>
      <c r="I576" s="1259"/>
      <c r="J576" s="1259"/>
      <c r="K576" s="1259"/>
      <c r="L576" s="1259"/>
      <c r="M576" s="1259"/>
      <c r="N576" s="1259"/>
      <c r="O576" s="1259"/>
      <c r="P576" s="1259"/>
      <c r="Q576" s="1259"/>
      <c r="R576" s="1259"/>
      <c r="S576" s="1259"/>
      <c r="T576" s="1259"/>
      <c r="U576" s="1259"/>
      <c r="V576" s="1259"/>
      <c r="W576" s="1259"/>
      <c r="X576" s="1259"/>
      <c r="Y576" s="1259"/>
      <c r="Z576" s="1259"/>
    </row>
    <row r="577" spans="1:26" ht="15.75" customHeight="1">
      <c r="A577" s="1259"/>
      <c r="B577" s="1259"/>
      <c r="C577" s="1259"/>
      <c r="D577" s="1259"/>
      <c r="E577" s="1259"/>
      <c r="F577" s="1259"/>
      <c r="G577" s="1259"/>
      <c r="H577" s="1259"/>
      <c r="I577" s="1259"/>
      <c r="J577" s="1259"/>
      <c r="K577" s="1259"/>
      <c r="L577" s="1259"/>
      <c r="M577" s="1259"/>
      <c r="N577" s="1259"/>
      <c r="O577" s="1259"/>
      <c r="P577" s="1259"/>
      <c r="Q577" s="1259"/>
      <c r="R577" s="1259"/>
      <c r="S577" s="1259"/>
      <c r="T577" s="1259"/>
      <c r="U577" s="1259"/>
      <c r="V577" s="1259"/>
      <c r="W577" s="1259"/>
      <c r="X577" s="1259"/>
      <c r="Y577" s="1259"/>
      <c r="Z577" s="1259"/>
    </row>
    <row r="578" spans="1:26" ht="15.75" customHeight="1">
      <c r="A578" s="1259"/>
      <c r="B578" s="1259"/>
      <c r="C578" s="1259"/>
      <c r="D578" s="1259"/>
      <c r="E578" s="1259"/>
      <c r="F578" s="1259"/>
      <c r="G578" s="1259"/>
      <c r="H578" s="1259"/>
      <c r="I578" s="1259"/>
      <c r="J578" s="1259"/>
      <c r="K578" s="1259"/>
      <c r="L578" s="1259"/>
      <c r="M578" s="1259"/>
      <c r="N578" s="1259"/>
      <c r="O578" s="1259"/>
      <c r="P578" s="1259"/>
      <c r="Q578" s="1259"/>
      <c r="R578" s="1259"/>
      <c r="S578" s="1259"/>
      <c r="T578" s="1259"/>
      <c r="U578" s="1259"/>
      <c r="V578" s="1259"/>
      <c r="W578" s="1259"/>
      <c r="X578" s="1259"/>
      <c r="Y578" s="1259"/>
      <c r="Z578" s="1259"/>
    </row>
    <row r="579" spans="1:26" ht="15.75" customHeight="1">
      <c r="A579" s="1259"/>
      <c r="B579" s="1259"/>
      <c r="C579" s="1259"/>
      <c r="D579" s="1259"/>
      <c r="E579" s="1259"/>
      <c r="F579" s="1259"/>
      <c r="G579" s="1259"/>
      <c r="H579" s="1259"/>
      <c r="I579" s="1259"/>
      <c r="J579" s="1259"/>
      <c r="K579" s="1259"/>
      <c r="L579" s="1259"/>
      <c r="M579" s="1259"/>
      <c r="N579" s="1259"/>
      <c r="O579" s="1259"/>
      <c r="P579" s="1259"/>
      <c r="Q579" s="1259"/>
      <c r="R579" s="1259"/>
      <c r="S579" s="1259"/>
      <c r="T579" s="1259"/>
      <c r="U579" s="1259"/>
      <c r="V579" s="1259"/>
      <c r="W579" s="1259"/>
      <c r="X579" s="1259"/>
      <c r="Y579" s="1259"/>
      <c r="Z579" s="1259"/>
    </row>
    <row r="580" spans="1:26" ht="15.75" customHeight="1">
      <c r="A580" s="1259"/>
      <c r="B580" s="1259"/>
      <c r="C580" s="1259"/>
      <c r="D580" s="1259"/>
      <c r="E580" s="1259"/>
      <c r="F580" s="1259"/>
      <c r="G580" s="1259"/>
      <c r="H580" s="1259"/>
      <c r="I580" s="1259"/>
      <c r="J580" s="1259"/>
      <c r="K580" s="1259"/>
      <c r="L580" s="1259"/>
      <c r="M580" s="1259"/>
      <c r="N580" s="1259"/>
      <c r="O580" s="1259"/>
      <c r="P580" s="1259"/>
      <c r="Q580" s="1259"/>
      <c r="R580" s="1259"/>
      <c r="S580" s="1259"/>
      <c r="T580" s="1259"/>
      <c r="U580" s="1259"/>
      <c r="V580" s="1259"/>
      <c r="W580" s="1259"/>
      <c r="X580" s="1259"/>
      <c r="Y580" s="1259"/>
      <c r="Z580" s="1259"/>
    </row>
    <row r="581" spans="1:26" ht="15.75" customHeight="1">
      <c r="A581" s="1259"/>
      <c r="B581" s="1259"/>
      <c r="C581" s="1259"/>
      <c r="D581" s="1259"/>
      <c r="E581" s="1259"/>
      <c r="F581" s="1259"/>
      <c r="G581" s="1259"/>
      <c r="H581" s="1259"/>
      <c r="I581" s="1259"/>
      <c r="J581" s="1259"/>
      <c r="K581" s="1259"/>
      <c r="L581" s="1259"/>
      <c r="M581" s="1259"/>
      <c r="N581" s="1259"/>
      <c r="O581" s="1259"/>
      <c r="P581" s="1259"/>
      <c r="Q581" s="1259"/>
      <c r="R581" s="1259"/>
      <c r="S581" s="1259"/>
      <c r="T581" s="1259"/>
      <c r="U581" s="1259"/>
      <c r="V581" s="1259"/>
      <c r="W581" s="1259"/>
      <c r="X581" s="1259"/>
      <c r="Y581" s="1259"/>
      <c r="Z581" s="1259"/>
    </row>
    <row r="582" spans="1:26" ht="15.75" customHeight="1">
      <c r="A582" s="1259"/>
      <c r="B582" s="1259"/>
      <c r="C582" s="1259"/>
      <c r="D582" s="1259"/>
      <c r="E582" s="1259"/>
      <c r="F582" s="1259"/>
      <c r="G582" s="1259"/>
      <c r="H582" s="1259"/>
      <c r="I582" s="1259"/>
      <c r="J582" s="1259"/>
      <c r="K582" s="1259"/>
      <c r="L582" s="1259"/>
      <c r="M582" s="1259"/>
      <c r="N582" s="1259"/>
      <c r="O582" s="1259"/>
      <c r="P582" s="1259"/>
      <c r="Q582" s="1259"/>
      <c r="R582" s="1259"/>
      <c r="S582" s="1259"/>
      <c r="T582" s="1259"/>
      <c r="U582" s="1259"/>
      <c r="V582" s="1259"/>
      <c r="W582" s="1259"/>
      <c r="X582" s="1259"/>
      <c r="Y582" s="1259"/>
      <c r="Z582" s="1259"/>
    </row>
    <row r="583" spans="1:26" ht="15.75" customHeight="1">
      <c r="A583" s="1259"/>
      <c r="B583" s="1259"/>
      <c r="C583" s="1259"/>
      <c r="D583" s="1259"/>
      <c r="E583" s="1259"/>
      <c r="F583" s="1259"/>
      <c r="G583" s="1259"/>
      <c r="H583" s="1259"/>
      <c r="I583" s="1259"/>
      <c r="J583" s="1259"/>
      <c r="K583" s="1259"/>
      <c r="L583" s="1259"/>
      <c r="M583" s="1259"/>
      <c r="N583" s="1259"/>
      <c r="O583" s="1259"/>
      <c r="P583" s="1259"/>
      <c r="Q583" s="1259"/>
      <c r="R583" s="1259"/>
      <c r="S583" s="1259"/>
      <c r="T583" s="1259"/>
      <c r="U583" s="1259"/>
      <c r="V583" s="1259"/>
      <c r="W583" s="1259"/>
      <c r="X583" s="1259"/>
      <c r="Y583" s="1259"/>
      <c r="Z583" s="1259"/>
    </row>
    <row r="584" spans="1:26" ht="15.75" customHeight="1">
      <c r="A584" s="1259"/>
      <c r="B584" s="1259"/>
      <c r="C584" s="1259"/>
      <c r="D584" s="1259"/>
      <c r="E584" s="1259"/>
      <c r="F584" s="1259"/>
      <c r="G584" s="1259"/>
      <c r="H584" s="1259"/>
      <c r="I584" s="1259"/>
      <c r="J584" s="1259"/>
      <c r="K584" s="1259"/>
      <c r="L584" s="1259"/>
      <c r="M584" s="1259"/>
      <c r="N584" s="1259"/>
      <c r="O584" s="1259"/>
      <c r="P584" s="1259"/>
      <c r="Q584" s="1259"/>
      <c r="R584" s="1259"/>
      <c r="S584" s="1259"/>
      <c r="T584" s="1259"/>
      <c r="U584" s="1259"/>
      <c r="V584" s="1259"/>
      <c r="W584" s="1259"/>
      <c r="X584" s="1259"/>
      <c r="Y584" s="1259"/>
      <c r="Z584" s="1259"/>
    </row>
    <row r="585" spans="1:26" ht="15.75" customHeight="1">
      <c r="A585" s="1259"/>
      <c r="B585" s="1259"/>
      <c r="C585" s="1259"/>
      <c r="D585" s="1259"/>
      <c r="E585" s="1259"/>
      <c r="F585" s="1259"/>
      <c r="G585" s="1259"/>
      <c r="H585" s="1259"/>
      <c r="I585" s="1259"/>
      <c r="J585" s="1259"/>
      <c r="K585" s="1259"/>
      <c r="L585" s="1259"/>
      <c r="M585" s="1259"/>
      <c r="N585" s="1259"/>
      <c r="O585" s="1259"/>
      <c r="P585" s="1259"/>
      <c r="Q585" s="1259"/>
      <c r="R585" s="1259"/>
      <c r="S585" s="1259"/>
      <c r="T585" s="1259"/>
      <c r="U585" s="1259"/>
      <c r="V585" s="1259"/>
      <c r="W585" s="1259"/>
      <c r="X585" s="1259"/>
      <c r="Y585" s="1259"/>
      <c r="Z585" s="1259"/>
    </row>
    <row r="586" spans="1:26" ht="15.75" customHeight="1">
      <c r="A586" s="1259"/>
      <c r="B586" s="1259"/>
      <c r="C586" s="1259"/>
      <c r="D586" s="1259"/>
      <c r="E586" s="1259"/>
      <c r="F586" s="1259"/>
      <c r="G586" s="1259"/>
      <c r="H586" s="1259"/>
      <c r="I586" s="1259"/>
      <c r="J586" s="1259"/>
      <c r="K586" s="1259"/>
      <c r="L586" s="1259"/>
      <c r="M586" s="1259"/>
      <c r="N586" s="1259"/>
      <c r="O586" s="1259"/>
      <c r="P586" s="1259"/>
      <c r="Q586" s="1259"/>
      <c r="R586" s="1259"/>
      <c r="S586" s="1259"/>
      <c r="T586" s="1259"/>
      <c r="U586" s="1259"/>
      <c r="V586" s="1259"/>
      <c r="W586" s="1259"/>
      <c r="X586" s="1259"/>
      <c r="Y586" s="1259"/>
      <c r="Z586" s="1259"/>
    </row>
    <row r="587" spans="1:26" ht="15.75" customHeight="1">
      <c r="A587" s="1259"/>
      <c r="B587" s="1259"/>
      <c r="C587" s="1259"/>
      <c r="D587" s="1259"/>
      <c r="E587" s="1259"/>
      <c r="F587" s="1259"/>
      <c r="G587" s="1259"/>
      <c r="H587" s="1259"/>
      <c r="I587" s="1259"/>
      <c r="J587" s="1259"/>
      <c r="K587" s="1259"/>
      <c r="L587" s="1259"/>
      <c r="M587" s="1259"/>
      <c r="N587" s="1259"/>
      <c r="O587" s="1259"/>
      <c r="P587" s="1259"/>
      <c r="Q587" s="1259"/>
      <c r="R587" s="1259"/>
      <c r="S587" s="1259"/>
      <c r="T587" s="1259"/>
      <c r="U587" s="1259"/>
      <c r="V587" s="1259"/>
      <c r="W587" s="1259"/>
      <c r="X587" s="1259"/>
      <c r="Y587" s="1259"/>
      <c r="Z587" s="1259"/>
    </row>
    <row r="588" spans="1:26" ht="15.75" customHeight="1">
      <c r="A588" s="1259"/>
      <c r="B588" s="1259"/>
      <c r="C588" s="1259"/>
      <c r="D588" s="1259"/>
      <c r="E588" s="1259"/>
      <c r="F588" s="1259"/>
      <c r="G588" s="1259"/>
      <c r="H588" s="1259"/>
      <c r="I588" s="1259"/>
      <c r="J588" s="1259"/>
      <c r="K588" s="1259"/>
      <c r="L588" s="1259"/>
      <c r="M588" s="1259"/>
      <c r="N588" s="1259"/>
      <c r="O588" s="1259"/>
      <c r="P588" s="1259"/>
      <c r="Q588" s="1259"/>
      <c r="R588" s="1259"/>
      <c r="S588" s="1259"/>
      <c r="T588" s="1259"/>
      <c r="U588" s="1259"/>
      <c r="V588" s="1259"/>
      <c r="W588" s="1259"/>
      <c r="X588" s="1259"/>
      <c r="Y588" s="1259"/>
      <c r="Z588" s="1259"/>
    </row>
    <row r="589" spans="1:26" ht="15.75" customHeight="1">
      <c r="A589" s="1259"/>
      <c r="B589" s="1259"/>
      <c r="C589" s="1259"/>
      <c r="D589" s="1259"/>
      <c r="E589" s="1259"/>
      <c r="F589" s="1259"/>
      <c r="G589" s="1259"/>
      <c r="H589" s="1259"/>
      <c r="I589" s="1259"/>
      <c r="J589" s="1259"/>
      <c r="K589" s="1259"/>
      <c r="L589" s="1259"/>
      <c r="M589" s="1259"/>
      <c r="N589" s="1259"/>
      <c r="O589" s="1259"/>
      <c r="P589" s="1259"/>
      <c r="Q589" s="1259"/>
      <c r="R589" s="1259"/>
      <c r="S589" s="1259"/>
      <c r="T589" s="1259"/>
      <c r="U589" s="1259"/>
      <c r="V589" s="1259"/>
      <c r="W589" s="1259"/>
      <c r="X589" s="1259"/>
      <c r="Y589" s="1259"/>
      <c r="Z589" s="1259"/>
    </row>
    <row r="590" spans="1:26" ht="15.75" customHeight="1">
      <c r="A590" s="1259"/>
      <c r="B590" s="1259"/>
      <c r="C590" s="1259"/>
      <c r="D590" s="1259"/>
      <c r="E590" s="1259"/>
      <c r="F590" s="1259"/>
      <c r="G590" s="1259"/>
      <c r="H590" s="1259"/>
      <c r="I590" s="1259"/>
      <c r="J590" s="1259"/>
      <c r="K590" s="1259"/>
      <c r="L590" s="1259"/>
      <c r="M590" s="1259"/>
      <c r="N590" s="1259"/>
      <c r="O590" s="1259"/>
      <c r="P590" s="1259"/>
      <c r="Q590" s="1259"/>
      <c r="R590" s="1259"/>
      <c r="S590" s="1259"/>
      <c r="T590" s="1259"/>
      <c r="U590" s="1259"/>
      <c r="V590" s="1259"/>
      <c r="W590" s="1259"/>
      <c r="X590" s="1259"/>
      <c r="Y590" s="1259"/>
      <c r="Z590" s="1259"/>
    </row>
    <row r="591" spans="1:26" ht="15.75" customHeight="1">
      <c r="A591" s="1259"/>
      <c r="B591" s="1259"/>
      <c r="C591" s="1259"/>
      <c r="D591" s="1259"/>
      <c r="E591" s="1259"/>
      <c r="F591" s="1259"/>
      <c r="G591" s="1259"/>
      <c r="H591" s="1259"/>
      <c r="I591" s="1259"/>
      <c r="J591" s="1259"/>
      <c r="K591" s="1259"/>
      <c r="L591" s="1259"/>
      <c r="M591" s="1259"/>
      <c r="N591" s="1259"/>
      <c r="O591" s="1259"/>
      <c r="P591" s="1259"/>
      <c r="Q591" s="1259"/>
      <c r="R591" s="1259"/>
      <c r="S591" s="1259"/>
      <c r="T591" s="1259"/>
      <c r="U591" s="1259"/>
      <c r="V591" s="1259"/>
      <c r="W591" s="1259"/>
      <c r="X591" s="1259"/>
      <c r="Y591" s="1259"/>
      <c r="Z591" s="1259"/>
    </row>
    <row r="592" spans="1:26" ht="15.75" customHeight="1">
      <c r="A592" s="1259"/>
      <c r="B592" s="1259"/>
      <c r="C592" s="1259"/>
      <c r="D592" s="1259"/>
      <c r="E592" s="1259"/>
      <c r="F592" s="1259"/>
      <c r="G592" s="1259"/>
      <c r="H592" s="1259"/>
      <c r="I592" s="1259"/>
      <c r="J592" s="1259"/>
      <c r="K592" s="1259"/>
      <c r="L592" s="1259"/>
      <c r="M592" s="1259"/>
      <c r="N592" s="1259"/>
      <c r="O592" s="1259"/>
      <c r="P592" s="1259"/>
      <c r="Q592" s="1259"/>
      <c r="R592" s="1259"/>
      <c r="S592" s="1259"/>
      <c r="T592" s="1259"/>
      <c r="U592" s="1259"/>
      <c r="V592" s="1259"/>
      <c r="W592" s="1259"/>
      <c r="X592" s="1259"/>
      <c r="Y592" s="1259"/>
      <c r="Z592" s="1259"/>
    </row>
    <row r="593" spans="1:26" ht="15.75" customHeight="1">
      <c r="A593" s="1259"/>
      <c r="B593" s="1259"/>
      <c r="C593" s="1259"/>
      <c r="D593" s="1259"/>
      <c r="E593" s="1259"/>
      <c r="F593" s="1259"/>
      <c r="G593" s="1259"/>
      <c r="H593" s="1259"/>
      <c r="I593" s="1259"/>
      <c r="J593" s="1259"/>
      <c r="K593" s="1259"/>
      <c r="L593" s="1259"/>
      <c r="M593" s="1259"/>
      <c r="N593" s="1259"/>
      <c r="O593" s="1259"/>
      <c r="P593" s="1259"/>
      <c r="Q593" s="1259"/>
      <c r="R593" s="1259"/>
      <c r="S593" s="1259"/>
      <c r="T593" s="1259"/>
      <c r="U593" s="1259"/>
      <c r="V593" s="1259"/>
      <c r="W593" s="1259"/>
      <c r="X593" s="1259"/>
      <c r="Y593" s="1259"/>
      <c r="Z593" s="1259"/>
    </row>
    <row r="594" spans="1:26" ht="15.75" customHeight="1">
      <c r="A594" s="1259"/>
      <c r="B594" s="1259"/>
      <c r="C594" s="1259"/>
      <c r="D594" s="1259"/>
      <c r="E594" s="1259"/>
      <c r="F594" s="1259"/>
      <c r="G594" s="1259"/>
      <c r="H594" s="1259"/>
      <c r="I594" s="1259"/>
      <c r="J594" s="1259"/>
      <c r="K594" s="1259"/>
      <c r="L594" s="1259"/>
      <c r="M594" s="1259"/>
      <c r="N594" s="1259"/>
      <c r="O594" s="1259"/>
      <c r="P594" s="1259"/>
      <c r="Q594" s="1259"/>
      <c r="R594" s="1259"/>
      <c r="S594" s="1259"/>
      <c r="T594" s="1259"/>
      <c r="U594" s="1259"/>
      <c r="V594" s="1259"/>
      <c r="W594" s="1259"/>
      <c r="X594" s="1259"/>
      <c r="Y594" s="1259"/>
      <c r="Z594" s="1259"/>
    </row>
    <row r="595" spans="1:26" ht="15.75" customHeight="1">
      <c r="A595" s="1259"/>
      <c r="B595" s="1259"/>
      <c r="C595" s="1259"/>
      <c r="D595" s="1259"/>
      <c r="E595" s="1259"/>
      <c r="F595" s="1259"/>
      <c r="G595" s="1259"/>
      <c r="H595" s="1259"/>
      <c r="I595" s="1259"/>
      <c r="J595" s="1259"/>
      <c r="K595" s="1259"/>
      <c r="L595" s="1259"/>
      <c r="M595" s="1259"/>
      <c r="N595" s="1259"/>
      <c r="O595" s="1259"/>
      <c r="P595" s="1259"/>
      <c r="Q595" s="1259"/>
      <c r="R595" s="1259"/>
      <c r="S595" s="1259"/>
      <c r="T595" s="1259"/>
      <c r="U595" s="1259"/>
      <c r="V595" s="1259"/>
      <c r="W595" s="1259"/>
      <c r="X595" s="1259"/>
      <c r="Y595" s="1259"/>
      <c r="Z595" s="1259"/>
    </row>
    <row r="596" spans="1:26" ht="15.75" customHeight="1">
      <c r="A596" s="1259"/>
      <c r="B596" s="1259"/>
      <c r="C596" s="1259"/>
      <c r="D596" s="1259"/>
      <c r="E596" s="1259"/>
      <c r="F596" s="1259"/>
      <c r="G596" s="1259"/>
      <c r="H596" s="1259"/>
      <c r="I596" s="1259"/>
      <c r="J596" s="1259"/>
      <c r="K596" s="1259"/>
      <c r="L596" s="1259"/>
      <c r="M596" s="1259"/>
      <c r="N596" s="1259"/>
      <c r="O596" s="1259"/>
      <c r="P596" s="1259"/>
      <c r="Q596" s="1259"/>
      <c r="R596" s="1259"/>
      <c r="S596" s="1259"/>
      <c r="T596" s="1259"/>
      <c r="U596" s="1259"/>
      <c r="V596" s="1259"/>
      <c r="W596" s="1259"/>
      <c r="X596" s="1259"/>
      <c r="Y596" s="1259"/>
      <c r="Z596" s="1259"/>
    </row>
    <row r="597" spans="1:26" ht="15.75" customHeight="1">
      <c r="A597" s="1259"/>
      <c r="B597" s="1259"/>
      <c r="C597" s="1259"/>
      <c r="D597" s="1259"/>
      <c r="E597" s="1259"/>
      <c r="F597" s="1259"/>
      <c r="G597" s="1259"/>
      <c r="H597" s="1259"/>
      <c r="I597" s="1259"/>
      <c r="J597" s="1259"/>
      <c r="K597" s="1259"/>
      <c r="L597" s="1259"/>
      <c r="M597" s="1259"/>
      <c r="N597" s="1259"/>
      <c r="O597" s="1259"/>
      <c r="P597" s="1259"/>
      <c r="Q597" s="1259"/>
      <c r="R597" s="1259"/>
      <c r="S597" s="1259"/>
      <c r="T597" s="1259"/>
      <c r="U597" s="1259"/>
      <c r="V597" s="1259"/>
      <c r="W597" s="1259"/>
      <c r="X597" s="1259"/>
      <c r="Y597" s="1259"/>
      <c r="Z597" s="1259"/>
    </row>
    <row r="598" spans="1:26" ht="15.75" customHeight="1">
      <c r="A598" s="1259"/>
      <c r="B598" s="1259"/>
      <c r="C598" s="1259"/>
      <c r="D598" s="1259"/>
      <c r="E598" s="1259"/>
      <c r="F598" s="1259"/>
      <c r="G598" s="1259"/>
      <c r="H598" s="1259"/>
      <c r="I598" s="1259"/>
      <c r="J598" s="1259"/>
      <c r="K598" s="1259"/>
      <c r="L598" s="1259"/>
      <c r="M598" s="1259"/>
      <c r="N598" s="1259"/>
      <c r="O598" s="1259"/>
      <c r="P598" s="1259"/>
      <c r="Q598" s="1259"/>
      <c r="R598" s="1259"/>
      <c r="S598" s="1259"/>
      <c r="T598" s="1259"/>
      <c r="U598" s="1259"/>
      <c r="V598" s="1259"/>
      <c r="W598" s="1259"/>
      <c r="X598" s="1259"/>
      <c r="Y598" s="1259"/>
      <c r="Z598" s="1259"/>
    </row>
    <row r="599" spans="1:26" ht="15.75" customHeight="1">
      <c r="A599" s="1259"/>
      <c r="B599" s="1259"/>
      <c r="C599" s="1259"/>
      <c r="D599" s="1259"/>
      <c r="E599" s="1259"/>
      <c r="F599" s="1259"/>
      <c r="G599" s="1259"/>
      <c r="H599" s="1259"/>
      <c r="I599" s="1259"/>
      <c r="J599" s="1259"/>
      <c r="K599" s="1259"/>
      <c r="L599" s="1259"/>
      <c r="M599" s="1259"/>
      <c r="N599" s="1259"/>
      <c r="O599" s="1259"/>
      <c r="P599" s="1259"/>
      <c r="Q599" s="1259"/>
      <c r="R599" s="1259"/>
      <c r="S599" s="1259"/>
      <c r="T599" s="1259"/>
      <c r="U599" s="1259"/>
      <c r="V599" s="1259"/>
      <c r="W599" s="1259"/>
      <c r="X599" s="1259"/>
      <c r="Y599" s="1259"/>
      <c r="Z599" s="1259"/>
    </row>
    <row r="600" spans="1:26" ht="15.75" customHeight="1">
      <c r="A600" s="1259"/>
      <c r="B600" s="1259"/>
      <c r="C600" s="1259"/>
      <c r="D600" s="1259"/>
      <c r="E600" s="1259"/>
      <c r="F600" s="1259"/>
      <c r="G600" s="1259"/>
      <c r="H600" s="1259"/>
      <c r="I600" s="1259"/>
      <c r="J600" s="1259"/>
      <c r="K600" s="1259"/>
      <c r="L600" s="1259"/>
      <c r="M600" s="1259"/>
      <c r="N600" s="1259"/>
      <c r="O600" s="1259"/>
      <c r="P600" s="1259"/>
      <c r="Q600" s="1259"/>
      <c r="R600" s="1259"/>
      <c r="S600" s="1259"/>
      <c r="T600" s="1259"/>
      <c r="U600" s="1259"/>
      <c r="V600" s="1259"/>
      <c r="W600" s="1259"/>
      <c r="X600" s="1259"/>
      <c r="Y600" s="1259"/>
      <c r="Z600" s="1259"/>
    </row>
    <row r="601" spans="1:26" ht="15.75" customHeight="1">
      <c r="A601" s="1259"/>
      <c r="B601" s="1259"/>
      <c r="C601" s="1259"/>
      <c r="D601" s="1259"/>
      <c r="E601" s="1259"/>
      <c r="F601" s="1259"/>
      <c r="G601" s="1259"/>
      <c r="H601" s="1259"/>
      <c r="I601" s="1259"/>
      <c r="J601" s="1259"/>
      <c r="K601" s="1259"/>
      <c r="L601" s="1259"/>
      <c r="M601" s="1259"/>
      <c r="N601" s="1259"/>
      <c r="O601" s="1259"/>
      <c r="P601" s="1259"/>
      <c r="Q601" s="1259"/>
      <c r="R601" s="1259"/>
      <c r="S601" s="1259"/>
      <c r="T601" s="1259"/>
      <c r="U601" s="1259"/>
      <c r="V601" s="1259"/>
      <c r="W601" s="1259"/>
      <c r="X601" s="1259"/>
      <c r="Y601" s="1259"/>
      <c r="Z601" s="1259"/>
    </row>
    <row r="602" spans="1:26" ht="15.75" customHeight="1">
      <c r="A602" s="1259"/>
      <c r="B602" s="1259"/>
      <c r="C602" s="1259"/>
      <c r="D602" s="1259"/>
      <c r="E602" s="1259"/>
      <c r="F602" s="1259"/>
      <c r="G602" s="1259"/>
      <c r="H602" s="1259"/>
      <c r="I602" s="1259"/>
      <c r="J602" s="1259"/>
      <c r="K602" s="1259"/>
      <c r="L602" s="1259"/>
      <c r="M602" s="1259"/>
      <c r="N602" s="1259"/>
      <c r="O602" s="1259"/>
      <c r="P602" s="1259"/>
      <c r="Q602" s="1259"/>
      <c r="R602" s="1259"/>
      <c r="S602" s="1259"/>
      <c r="T602" s="1259"/>
      <c r="U602" s="1259"/>
      <c r="V602" s="1259"/>
      <c r="W602" s="1259"/>
      <c r="X602" s="1259"/>
      <c r="Y602" s="1259"/>
      <c r="Z602" s="1259"/>
    </row>
    <row r="603" spans="1:26" ht="15.75" customHeight="1">
      <c r="A603" s="1259"/>
      <c r="B603" s="1259"/>
      <c r="C603" s="1259"/>
      <c r="D603" s="1259"/>
      <c r="E603" s="1259"/>
      <c r="F603" s="1259"/>
      <c r="G603" s="1259"/>
      <c r="H603" s="1259"/>
      <c r="I603" s="1259"/>
      <c r="J603" s="1259"/>
      <c r="K603" s="1259"/>
      <c r="L603" s="1259"/>
      <c r="M603" s="1259"/>
      <c r="N603" s="1259"/>
      <c r="O603" s="1259"/>
      <c r="P603" s="1259"/>
      <c r="Q603" s="1259"/>
      <c r="R603" s="1259"/>
      <c r="S603" s="1259"/>
      <c r="T603" s="1259"/>
      <c r="U603" s="1259"/>
      <c r="V603" s="1259"/>
      <c r="W603" s="1259"/>
      <c r="X603" s="1259"/>
      <c r="Y603" s="1259"/>
      <c r="Z603" s="1259"/>
    </row>
    <row r="604" spans="1:26" ht="15.75" customHeight="1">
      <c r="A604" s="1259"/>
      <c r="B604" s="1259"/>
      <c r="C604" s="1259"/>
      <c r="D604" s="1259"/>
      <c r="E604" s="1259"/>
      <c r="F604" s="1259"/>
      <c r="G604" s="1259"/>
      <c r="H604" s="1259"/>
      <c r="I604" s="1259"/>
      <c r="J604" s="1259"/>
      <c r="K604" s="1259"/>
      <c r="L604" s="1259"/>
      <c r="M604" s="1259"/>
      <c r="N604" s="1259"/>
      <c r="O604" s="1259"/>
      <c r="P604" s="1259"/>
      <c r="Q604" s="1259"/>
      <c r="R604" s="1259"/>
      <c r="S604" s="1259"/>
      <c r="T604" s="1259"/>
      <c r="U604" s="1259"/>
      <c r="V604" s="1259"/>
      <c r="W604" s="1259"/>
      <c r="X604" s="1259"/>
      <c r="Y604" s="1259"/>
      <c r="Z604" s="1259"/>
    </row>
    <row r="605" spans="1:26" ht="15.75" customHeight="1">
      <c r="A605" s="1259"/>
      <c r="B605" s="1259"/>
      <c r="C605" s="1259"/>
      <c r="D605" s="1259"/>
      <c r="E605" s="1259"/>
      <c r="F605" s="1259"/>
      <c r="G605" s="1259"/>
      <c r="H605" s="1259"/>
      <c r="I605" s="1259"/>
      <c r="J605" s="1259"/>
      <c r="K605" s="1259"/>
      <c r="L605" s="1259"/>
      <c r="M605" s="1259"/>
      <c r="N605" s="1259"/>
      <c r="O605" s="1259"/>
      <c r="P605" s="1259"/>
      <c r="Q605" s="1259"/>
      <c r="R605" s="1259"/>
      <c r="S605" s="1259"/>
      <c r="T605" s="1259"/>
      <c r="U605" s="1259"/>
      <c r="V605" s="1259"/>
      <c r="W605" s="1259"/>
      <c r="X605" s="1259"/>
      <c r="Y605" s="1259"/>
      <c r="Z605" s="1259"/>
    </row>
    <row r="606" spans="1:26" ht="15.75" customHeight="1">
      <c r="A606" s="1259"/>
      <c r="B606" s="1259"/>
      <c r="C606" s="1259"/>
      <c r="D606" s="1259"/>
      <c r="E606" s="1259"/>
      <c r="F606" s="1259"/>
      <c r="G606" s="1259"/>
      <c r="H606" s="1259"/>
      <c r="I606" s="1259"/>
      <c r="J606" s="1259"/>
      <c r="K606" s="1259"/>
      <c r="L606" s="1259"/>
      <c r="M606" s="1259"/>
      <c r="N606" s="1259"/>
      <c r="O606" s="1259"/>
      <c r="P606" s="1259"/>
      <c r="Q606" s="1259"/>
      <c r="R606" s="1259"/>
      <c r="S606" s="1259"/>
      <c r="T606" s="1259"/>
      <c r="U606" s="1259"/>
      <c r="V606" s="1259"/>
      <c r="W606" s="1259"/>
      <c r="X606" s="1259"/>
      <c r="Y606" s="1259"/>
      <c r="Z606" s="1259"/>
    </row>
    <row r="607" spans="1:26" ht="15.75" customHeight="1">
      <c r="A607" s="1259"/>
      <c r="B607" s="1259"/>
      <c r="C607" s="1259"/>
      <c r="D607" s="1259"/>
      <c r="E607" s="1259"/>
      <c r="F607" s="1259"/>
      <c r="G607" s="1259"/>
      <c r="H607" s="1259"/>
      <c r="I607" s="1259"/>
      <c r="J607" s="1259"/>
      <c r="K607" s="1259"/>
      <c r="L607" s="1259"/>
      <c r="M607" s="1259"/>
      <c r="N607" s="1259"/>
      <c r="O607" s="1259"/>
      <c r="P607" s="1259"/>
      <c r="Q607" s="1259"/>
      <c r="R607" s="1259"/>
      <c r="S607" s="1259"/>
      <c r="T607" s="1259"/>
      <c r="U607" s="1259"/>
      <c r="V607" s="1259"/>
      <c r="W607" s="1259"/>
      <c r="X607" s="1259"/>
      <c r="Y607" s="1259"/>
      <c r="Z607" s="1259"/>
    </row>
    <row r="608" spans="1:26" ht="15.75" customHeight="1">
      <c r="A608" s="1259"/>
      <c r="B608" s="1259"/>
      <c r="C608" s="1259"/>
      <c r="D608" s="1259"/>
      <c r="E608" s="1259"/>
      <c r="F608" s="1259"/>
      <c r="G608" s="1259"/>
      <c r="H608" s="1259"/>
      <c r="I608" s="1259"/>
      <c r="J608" s="1259"/>
      <c r="K608" s="1259"/>
      <c r="L608" s="1259"/>
      <c r="M608" s="1259"/>
      <c r="N608" s="1259"/>
      <c r="O608" s="1259"/>
      <c r="P608" s="1259"/>
      <c r="Q608" s="1259"/>
      <c r="R608" s="1259"/>
      <c r="S608" s="1259"/>
      <c r="T608" s="1259"/>
      <c r="U608" s="1259"/>
      <c r="V608" s="1259"/>
      <c r="W608" s="1259"/>
      <c r="X608" s="1259"/>
      <c r="Y608" s="1259"/>
      <c r="Z608" s="1259"/>
    </row>
    <row r="609" spans="1:26" ht="15.75" customHeight="1">
      <c r="A609" s="1259"/>
      <c r="B609" s="1259"/>
      <c r="C609" s="1259"/>
      <c r="D609" s="1259"/>
      <c r="E609" s="1259"/>
      <c r="F609" s="1259"/>
      <c r="G609" s="1259"/>
      <c r="H609" s="1259"/>
      <c r="I609" s="1259"/>
      <c r="J609" s="1259"/>
      <c r="K609" s="1259"/>
      <c r="L609" s="1259"/>
      <c r="M609" s="1259"/>
      <c r="N609" s="1259"/>
      <c r="O609" s="1259"/>
      <c r="P609" s="1259"/>
      <c r="Q609" s="1259"/>
      <c r="R609" s="1259"/>
      <c r="S609" s="1259"/>
      <c r="T609" s="1259"/>
      <c r="U609" s="1259"/>
      <c r="V609" s="1259"/>
      <c r="W609" s="1259"/>
      <c r="X609" s="1259"/>
      <c r="Y609" s="1259"/>
      <c r="Z609" s="1259"/>
    </row>
    <row r="610" spans="1:26" ht="15.75" customHeight="1">
      <c r="A610" s="1259"/>
      <c r="B610" s="1259"/>
      <c r="C610" s="1259"/>
      <c r="D610" s="1259"/>
      <c r="E610" s="1259"/>
      <c r="F610" s="1259"/>
      <c r="G610" s="1259"/>
      <c r="H610" s="1259"/>
      <c r="I610" s="1259"/>
      <c r="J610" s="1259"/>
      <c r="K610" s="1259"/>
      <c r="L610" s="1259"/>
      <c r="M610" s="1259"/>
      <c r="N610" s="1259"/>
      <c r="O610" s="1259"/>
      <c r="P610" s="1259"/>
      <c r="Q610" s="1259"/>
      <c r="R610" s="1259"/>
      <c r="S610" s="1259"/>
      <c r="T610" s="1259"/>
      <c r="U610" s="1259"/>
      <c r="V610" s="1259"/>
      <c r="W610" s="1259"/>
      <c r="X610" s="1259"/>
      <c r="Y610" s="1259"/>
      <c r="Z610" s="1259"/>
    </row>
    <row r="611" spans="1:26" ht="15.75" customHeight="1">
      <c r="A611" s="1259"/>
      <c r="B611" s="1259"/>
      <c r="C611" s="1259"/>
      <c r="D611" s="1259"/>
      <c r="E611" s="1259"/>
      <c r="F611" s="1259"/>
      <c r="G611" s="1259"/>
      <c r="H611" s="1259"/>
      <c r="I611" s="1259"/>
      <c r="J611" s="1259"/>
      <c r="K611" s="1259"/>
      <c r="L611" s="1259"/>
      <c r="M611" s="1259"/>
      <c r="N611" s="1259"/>
      <c r="O611" s="1259"/>
      <c r="P611" s="1259"/>
      <c r="Q611" s="1259"/>
      <c r="R611" s="1259"/>
      <c r="S611" s="1259"/>
      <c r="T611" s="1259"/>
      <c r="U611" s="1259"/>
      <c r="V611" s="1259"/>
      <c r="W611" s="1259"/>
      <c r="X611" s="1259"/>
      <c r="Y611" s="1259"/>
      <c r="Z611" s="1259"/>
    </row>
    <row r="612" spans="1:26" ht="15.75" customHeight="1">
      <c r="A612" s="1259"/>
      <c r="B612" s="1259"/>
      <c r="C612" s="1259"/>
      <c r="D612" s="1259"/>
      <c r="E612" s="1259"/>
      <c r="F612" s="1259"/>
      <c r="G612" s="1259"/>
      <c r="H612" s="1259"/>
      <c r="I612" s="1259"/>
      <c r="J612" s="1259"/>
      <c r="K612" s="1259"/>
      <c r="L612" s="1259"/>
      <c r="M612" s="1259"/>
      <c r="N612" s="1259"/>
      <c r="O612" s="1259"/>
      <c r="P612" s="1259"/>
      <c r="Q612" s="1259"/>
      <c r="R612" s="1259"/>
      <c r="S612" s="1259"/>
      <c r="T612" s="1259"/>
      <c r="U612" s="1259"/>
      <c r="V612" s="1259"/>
      <c r="W612" s="1259"/>
      <c r="X612" s="1259"/>
      <c r="Y612" s="1259"/>
      <c r="Z612" s="1259"/>
    </row>
    <row r="613" spans="1:26" ht="15.75" customHeight="1">
      <c r="A613" s="1259"/>
      <c r="B613" s="1259"/>
      <c r="C613" s="1259"/>
      <c r="D613" s="1259"/>
      <c r="E613" s="1259"/>
      <c r="F613" s="1259"/>
      <c r="G613" s="1259"/>
      <c r="H613" s="1259"/>
      <c r="I613" s="1259"/>
      <c r="J613" s="1259"/>
      <c r="K613" s="1259"/>
      <c r="L613" s="1259"/>
      <c r="M613" s="1259"/>
      <c r="N613" s="1259"/>
      <c r="O613" s="1259"/>
      <c r="P613" s="1259"/>
      <c r="Q613" s="1259"/>
      <c r="R613" s="1259"/>
      <c r="S613" s="1259"/>
      <c r="T613" s="1259"/>
      <c r="U613" s="1259"/>
      <c r="V613" s="1259"/>
      <c r="W613" s="1259"/>
      <c r="X613" s="1259"/>
      <c r="Y613" s="1259"/>
      <c r="Z613" s="1259"/>
    </row>
    <row r="614" spans="1:26" ht="15.75" customHeight="1">
      <c r="A614" s="1259"/>
      <c r="B614" s="1259"/>
      <c r="C614" s="1259"/>
      <c r="D614" s="1259"/>
      <c r="E614" s="1259"/>
      <c r="F614" s="1259"/>
      <c r="G614" s="1259"/>
      <c r="H614" s="1259"/>
      <c r="I614" s="1259"/>
      <c r="J614" s="1259"/>
      <c r="K614" s="1259"/>
      <c r="L614" s="1259"/>
      <c r="M614" s="1259"/>
      <c r="N614" s="1259"/>
      <c r="O614" s="1259"/>
      <c r="P614" s="1259"/>
      <c r="Q614" s="1259"/>
      <c r="R614" s="1259"/>
      <c r="S614" s="1259"/>
      <c r="T614" s="1259"/>
      <c r="U614" s="1259"/>
      <c r="V614" s="1259"/>
      <c r="W614" s="1259"/>
      <c r="X614" s="1259"/>
      <c r="Y614" s="1259"/>
      <c r="Z614" s="1259"/>
    </row>
    <row r="615" spans="1:26" ht="15.75" customHeight="1">
      <c r="A615" s="1259"/>
      <c r="B615" s="1259"/>
      <c r="C615" s="1259"/>
      <c r="D615" s="1259"/>
      <c r="E615" s="1259"/>
      <c r="F615" s="1259"/>
      <c r="G615" s="1259"/>
      <c r="H615" s="1259"/>
      <c r="I615" s="1259"/>
      <c r="J615" s="1259"/>
      <c r="K615" s="1259"/>
      <c r="L615" s="1259"/>
      <c r="M615" s="1259"/>
      <c r="N615" s="1259"/>
      <c r="O615" s="1259"/>
      <c r="P615" s="1259"/>
      <c r="Q615" s="1259"/>
      <c r="R615" s="1259"/>
      <c r="S615" s="1259"/>
      <c r="T615" s="1259"/>
      <c r="U615" s="1259"/>
      <c r="V615" s="1259"/>
      <c r="W615" s="1259"/>
      <c r="X615" s="1259"/>
      <c r="Y615" s="1259"/>
      <c r="Z615" s="1259"/>
    </row>
    <row r="616" spans="1:26" ht="15.75" customHeight="1">
      <c r="A616" s="1259"/>
      <c r="B616" s="1259"/>
      <c r="C616" s="1259"/>
      <c r="D616" s="1259"/>
      <c r="E616" s="1259"/>
      <c r="F616" s="1259"/>
      <c r="G616" s="1259"/>
      <c r="H616" s="1259"/>
      <c r="I616" s="1259"/>
      <c r="J616" s="1259"/>
      <c r="K616" s="1259"/>
      <c r="L616" s="1259"/>
      <c r="M616" s="1259"/>
      <c r="N616" s="1259"/>
      <c r="O616" s="1259"/>
      <c r="P616" s="1259"/>
      <c r="Q616" s="1259"/>
      <c r="R616" s="1259"/>
      <c r="S616" s="1259"/>
      <c r="T616" s="1259"/>
      <c r="U616" s="1259"/>
      <c r="V616" s="1259"/>
      <c r="W616" s="1259"/>
      <c r="X616" s="1259"/>
      <c r="Y616" s="1259"/>
      <c r="Z616" s="1259"/>
    </row>
    <row r="617" spans="1:26" ht="15.75" customHeight="1">
      <c r="A617" s="1259"/>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row>
    <row r="618" spans="1:26" ht="15.7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row>
    <row r="619" spans="1:26" ht="15.75" customHeight="1">
      <c r="A619" s="1259"/>
      <c r="B619" s="1259"/>
      <c r="C619" s="1259"/>
      <c r="D619" s="1259"/>
      <c r="E619" s="1259"/>
      <c r="F619" s="1259"/>
      <c r="G619" s="1259"/>
      <c r="H619" s="1259"/>
      <c r="I619" s="1259"/>
      <c r="J619" s="1259"/>
      <c r="K619" s="1259"/>
      <c r="L619" s="1259"/>
      <c r="M619" s="1259"/>
      <c r="N619" s="1259"/>
      <c r="O619" s="1259"/>
      <c r="P619" s="1259"/>
      <c r="Q619" s="1259"/>
      <c r="R619" s="1259"/>
      <c r="S619" s="1259"/>
      <c r="T619" s="1259"/>
      <c r="U619" s="1259"/>
      <c r="V619" s="1259"/>
      <c r="W619" s="1259"/>
      <c r="X619" s="1259"/>
      <c r="Y619" s="1259"/>
      <c r="Z619" s="1259"/>
    </row>
    <row r="620" spans="1:26" ht="15.75" customHeight="1">
      <c r="A620" s="1259"/>
      <c r="B620" s="1259"/>
      <c r="C620" s="1259"/>
      <c r="D620" s="1259"/>
      <c r="E620" s="1259"/>
      <c r="F620" s="1259"/>
      <c r="G620" s="1259"/>
      <c r="H620" s="1259"/>
      <c r="I620" s="1259"/>
      <c r="J620" s="1259"/>
      <c r="K620" s="1259"/>
      <c r="L620" s="1259"/>
      <c r="M620" s="1259"/>
      <c r="N620" s="1259"/>
      <c r="O620" s="1259"/>
      <c r="P620" s="1259"/>
      <c r="Q620" s="1259"/>
      <c r="R620" s="1259"/>
      <c r="S620" s="1259"/>
      <c r="T620" s="1259"/>
      <c r="U620" s="1259"/>
      <c r="V620" s="1259"/>
      <c r="W620" s="1259"/>
      <c r="X620" s="1259"/>
      <c r="Y620" s="1259"/>
      <c r="Z620" s="1259"/>
    </row>
    <row r="621" spans="1:26" ht="15.75" customHeight="1">
      <c r="A621" s="1259"/>
      <c r="B621" s="1259"/>
      <c r="C621" s="1259"/>
      <c r="D621" s="1259"/>
      <c r="E621" s="1259"/>
      <c r="F621" s="1259"/>
      <c r="G621" s="1259"/>
      <c r="H621" s="1259"/>
      <c r="I621" s="1259"/>
      <c r="J621" s="1259"/>
      <c r="K621" s="1259"/>
      <c r="L621" s="1259"/>
      <c r="M621" s="1259"/>
      <c r="N621" s="1259"/>
      <c r="O621" s="1259"/>
      <c r="P621" s="1259"/>
      <c r="Q621" s="1259"/>
      <c r="R621" s="1259"/>
      <c r="S621" s="1259"/>
      <c r="T621" s="1259"/>
      <c r="U621" s="1259"/>
      <c r="V621" s="1259"/>
      <c r="W621" s="1259"/>
      <c r="X621" s="1259"/>
      <c r="Y621" s="1259"/>
      <c r="Z621" s="1259"/>
    </row>
    <row r="622" spans="1:26" ht="15.75" customHeight="1">
      <c r="A622" s="1259"/>
      <c r="B622" s="1259"/>
      <c r="C622" s="1259"/>
      <c r="D622" s="1259"/>
      <c r="E622" s="1259"/>
      <c r="F622" s="1259"/>
      <c r="G622" s="1259"/>
      <c r="H622" s="1259"/>
      <c r="I622" s="1259"/>
      <c r="J622" s="1259"/>
      <c r="K622" s="1259"/>
      <c r="L622" s="1259"/>
      <c r="M622" s="1259"/>
      <c r="N622" s="1259"/>
      <c r="O622" s="1259"/>
      <c r="P622" s="1259"/>
      <c r="Q622" s="1259"/>
      <c r="R622" s="1259"/>
      <c r="S622" s="1259"/>
      <c r="T622" s="1259"/>
      <c r="U622" s="1259"/>
      <c r="V622" s="1259"/>
      <c r="W622" s="1259"/>
      <c r="X622" s="1259"/>
      <c r="Y622" s="1259"/>
      <c r="Z622" s="1259"/>
    </row>
    <row r="623" spans="1:26" ht="15.75" customHeight="1">
      <c r="A623" s="1259"/>
      <c r="B623" s="1259"/>
      <c r="C623" s="1259"/>
      <c r="D623" s="1259"/>
      <c r="E623" s="1259"/>
      <c r="F623" s="1259"/>
      <c r="G623" s="1259"/>
      <c r="H623" s="1259"/>
      <c r="I623" s="1259"/>
      <c r="J623" s="1259"/>
      <c r="K623" s="1259"/>
      <c r="L623" s="1259"/>
      <c r="M623" s="1259"/>
      <c r="N623" s="1259"/>
      <c r="O623" s="1259"/>
      <c r="P623" s="1259"/>
      <c r="Q623" s="1259"/>
      <c r="R623" s="1259"/>
      <c r="S623" s="1259"/>
      <c r="T623" s="1259"/>
      <c r="U623" s="1259"/>
      <c r="V623" s="1259"/>
      <c r="W623" s="1259"/>
      <c r="X623" s="1259"/>
      <c r="Y623" s="1259"/>
      <c r="Z623" s="1259"/>
    </row>
    <row r="624" spans="1:26" ht="15.75" customHeight="1">
      <c r="A624" s="1259"/>
      <c r="B624" s="1259"/>
      <c r="C624" s="1259"/>
      <c r="D624" s="1259"/>
      <c r="E624" s="1259"/>
      <c r="F624" s="1259"/>
      <c r="G624" s="1259"/>
      <c r="H624" s="1259"/>
      <c r="I624" s="1259"/>
      <c r="J624" s="1259"/>
      <c r="K624" s="1259"/>
      <c r="L624" s="1259"/>
      <c r="M624" s="1259"/>
      <c r="N624" s="1259"/>
      <c r="O624" s="1259"/>
      <c r="P624" s="1259"/>
      <c r="Q624" s="1259"/>
      <c r="R624" s="1259"/>
      <c r="S624" s="1259"/>
      <c r="T624" s="1259"/>
      <c r="U624" s="1259"/>
      <c r="V624" s="1259"/>
      <c r="W624" s="1259"/>
      <c r="X624" s="1259"/>
      <c r="Y624" s="1259"/>
      <c r="Z624" s="1259"/>
    </row>
    <row r="625" spans="1:26" ht="15.75" customHeight="1">
      <c r="A625" s="1259"/>
      <c r="B625" s="1259"/>
      <c r="C625" s="1259"/>
      <c r="D625" s="1259"/>
      <c r="E625" s="1259"/>
      <c r="F625" s="1259"/>
      <c r="G625" s="1259"/>
      <c r="H625" s="1259"/>
      <c r="I625" s="1259"/>
      <c r="J625" s="1259"/>
      <c r="K625" s="1259"/>
      <c r="L625" s="1259"/>
      <c r="M625" s="1259"/>
      <c r="N625" s="1259"/>
      <c r="O625" s="1259"/>
      <c r="P625" s="1259"/>
      <c r="Q625" s="1259"/>
      <c r="R625" s="1259"/>
      <c r="S625" s="1259"/>
      <c r="T625" s="1259"/>
      <c r="U625" s="1259"/>
      <c r="V625" s="1259"/>
      <c r="W625" s="1259"/>
      <c r="X625" s="1259"/>
      <c r="Y625" s="1259"/>
      <c r="Z625" s="1259"/>
    </row>
    <row r="626" spans="1:26" ht="15.75" customHeight="1">
      <c r="A626" s="1259"/>
      <c r="B626" s="1259"/>
      <c r="C626" s="1259"/>
      <c r="D626" s="1259"/>
      <c r="E626" s="1259"/>
      <c r="F626" s="1259"/>
      <c r="G626" s="1259"/>
      <c r="H626" s="1259"/>
      <c r="I626" s="1259"/>
      <c r="J626" s="1259"/>
      <c r="K626" s="1259"/>
      <c r="L626" s="1259"/>
      <c r="M626" s="1259"/>
      <c r="N626" s="1259"/>
      <c r="O626" s="1259"/>
      <c r="P626" s="1259"/>
      <c r="Q626" s="1259"/>
      <c r="R626" s="1259"/>
      <c r="S626" s="1259"/>
      <c r="T626" s="1259"/>
      <c r="U626" s="1259"/>
      <c r="V626" s="1259"/>
      <c r="W626" s="1259"/>
      <c r="X626" s="1259"/>
      <c r="Y626" s="1259"/>
      <c r="Z626" s="1259"/>
    </row>
    <row r="627" spans="1:26" ht="15.75" customHeight="1">
      <c r="A627" s="1259"/>
      <c r="B627" s="1259"/>
      <c r="C627" s="1259"/>
      <c r="D627" s="1259"/>
      <c r="E627" s="1259"/>
      <c r="F627" s="1259"/>
      <c r="G627" s="1259"/>
      <c r="H627" s="1259"/>
      <c r="I627" s="1259"/>
      <c r="J627" s="1259"/>
      <c r="K627" s="1259"/>
      <c r="L627" s="1259"/>
      <c r="M627" s="1259"/>
      <c r="N627" s="1259"/>
      <c r="O627" s="1259"/>
      <c r="P627" s="1259"/>
      <c r="Q627" s="1259"/>
      <c r="R627" s="1259"/>
      <c r="S627" s="1259"/>
      <c r="T627" s="1259"/>
      <c r="U627" s="1259"/>
      <c r="V627" s="1259"/>
      <c r="W627" s="1259"/>
      <c r="X627" s="1259"/>
      <c r="Y627" s="1259"/>
      <c r="Z627" s="1259"/>
    </row>
    <row r="628" spans="1:26" ht="15.75" customHeight="1">
      <c r="A628" s="1259"/>
      <c r="B628" s="1259"/>
      <c r="C628" s="1259"/>
      <c r="D628" s="1259"/>
      <c r="E628" s="1259"/>
      <c r="F628" s="1259"/>
      <c r="G628" s="1259"/>
      <c r="H628" s="1259"/>
      <c r="I628" s="1259"/>
      <c r="J628" s="1259"/>
      <c r="K628" s="1259"/>
      <c r="L628" s="1259"/>
      <c r="M628" s="1259"/>
      <c r="N628" s="1259"/>
      <c r="O628" s="1259"/>
      <c r="P628" s="1259"/>
      <c r="Q628" s="1259"/>
      <c r="R628" s="1259"/>
      <c r="S628" s="1259"/>
      <c r="T628" s="1259"/>
      <c r="U628" s="1259"/>
      <c r="V628" s="1259"/>
      <c r="W628" s="1259"/>
      <c r="X628" s="1259"/>
      <c r="Y628" s="1259"/>
      <c r="Z628" s="1259"/>
    </row>
    <row r="629" spans="1:26" ht="15.75" customHeight="1">
      <c r="A629" s="1259"/>
      <c r="B629" s="1259"/>
      <c r="C629" s="1259"/>
      <c r="D629" s="1259"/>
      <c r="E629" s="1259"/>
      <c r="F629" s="1259"/>
      <c r="G629" s="1259"/>
      <c r="H629" s="1259"/>
      <c r="I629" s="1259"/>
      <c r="J629" s="1259"/>
      <c r="K629" s="1259"/>
      <c r="L629" s="1259"/>
      <c r="M629" s="1259"/>
      <c r="N629" s="1259"/>
      <c r="O629" s="1259"/>
      <c r="P629" s="1259"/>
      <c r="Q629" s="1259"/>
      <c r="R629" s="1259"/>
      <c r="S629" s="1259"/>
      <c r="T629" s="1259"/>
      <c r="U629" s="1259"/>
      <c r="V629" s="1259"/>
      <c r="W629" s="1259"/>
      <c r="X629" s="1259"/>
      <c r="Y629" s="1259"/>
      <c r="Z629" s="1259"/>
    </row>
    <row r="630" spans="1:26" ht="15.75" customHeight="1">
      <c r="A630" s="1259"/>
      <c r="B630" s="1259"/>
      <c r="C630" s="1259"/>
      <c r="D630" s="1259"/>
      <c r="E630" s="1259"/>
      <c r="F630" s="1259"/>
      <c r="G630" s="1259"/>
      <c r="H630" s="1259"/>
      <c r="I630" s="1259"/>
      <c r="J630" s="1259"/>
      <c r="K630" s="1259"/>
      <c r="L630" s="1259"/>
      <c r="M630" s="1259"/>
      <c r="N630" s="1259"/>
      <c r="O630" s="1259"/>
      <c r="P630" s="1259"/>
      <c r="Q630" s="1259"/>
      <c r="R630" s="1259"/>
      <c r="S630" s="1259"/>
      <c r="T630" s="1259"/>
      <c r="U630" s="1259"/>
      <c r="V630" s="1259"/>
      <c r="W630" s="1259"/>
      <c r="X630" s="1259"/>
      <c r="Y630" s="1259"/>
      <c r="Z630" s="1259"/>
    </row>
    <row r="631" spans="1:26" ht="15.75" customHeight="1">
      <c r="A631" s="1259"/>
      <c r="B631" s="1259"/>
      <c r="C631" s="1259"/>
      <c r="D631" s="1259"/>
      <c r="E631" s="1259"/>
      <c r="F631" s="1259"/>
      <c r="G631" s="1259"/>
      <c r="H631" s="1259"/>
      <c r="I631" s="1259"/>
      <c r="J631" s="1259"/>
      <c r="K631" s="1259"/>
      <c r="L631" s="1259"/>
      <c r="M631" s="1259"/>
      <c r="N631" s="1259"/>
      <c r="O631" s="1259"/>
      <c r="P631" s="1259"/>
      <c r="Q631" s="1259"/>
      <c r="R631" s="1259"/>
      <c r="S631" s="1259"/>
      <c r="T631" s="1259"/>
      <c r="U631" s="1259"/>
      <c r="V631" s="1259"/>
      <c r="W631" s="1259"/>
      <c r="X631" s="1259"/>
      <c r="Y631" s="1259"/>
      <c r="Z631" s="1259"/>
    </row>
    <row r="632" spans="1:26" ht="15.75" customHeight="1">
      <c r="A632" s="1259"/>
      <c r="B632" s="1259"/>
      <c r="C632" s="1259"/>
      <c r="D632" s="1259"/>
      <c r="E632" s="1259"/>
      <c r="F632" s="1259"/>
      <c r="G632" s="1259"/>
      <c r="H632" s="1259"/>
      <c r="I632" s="1259"/>
      <c r="J632" s="1259"/>
      <c r="K632" s="1259"/>
      <c r="L632" s="1259"/>
      <c r="M632" s="1259"/>
      <c r="N632" s="1259"/>
      <c r="O632" s="1259"/>
      <c r="P632" s="1259"/>
      <c r="Q632" s="1259"/>
      <c r="R632" s="1259"/>
      <c r="S632" s="1259"/>
      <c r="T632" s="1259"/>
      <c r="U632" s="1259"/>
      <c r="V632" s="1259"/>
      <c r="W632" s="1259"/>
      <c r="X632" s="1259"/>
      <c r="Y632" s="1259"/>
      <c r="Z632" s="1259"/>
    </row>
    <row r="633" spans="1:26" ht="15.75" customHeight="1">
      <c r="A633" s="1259"/>
      <c r="B633" s="1259"/>
      <c r="C633" s="1259"/>
      <c r="D633" s="1259"/>
      <c r="E633" s="1259"/>
      <c r="F633" s="1259"/>
      <c r="G633" s="1259"/>
      <c r="H633" s="1259"/>
      <c r="I633" s="1259"/>
      <c r="J633" s="1259"/>
      <c r="K633" s="1259"/>
      <c r="L633" s="1259"/>
      <c r="M633" s="1259"/>
      <c r="N633" s="1259"/>
      <c r="O633" s="1259"/>
      <c r="P633" s="1259"/>
      <c r="Q633" s="1259"/>
      <c r="R633" s="1259"/>
      <c r="S633" s="1259"/>
      <c r="T633" s="1259"/>
      <c r="U633" s="1259"/>
      <c r="V633" s="1259"/>
      <c r="W633" s="1259"/>
      <c r="X633" s="1259"/>
      <c r="Y633" s="1259"/>
      <c r="Z633" s="1259"/>
    </row>
    <row r="634" spans="1:26" ht="15.75" customHeight="1">
      <c r="A634" s="1259"/>
      <c r="B634" s="1259"/>
      <c r="C634" s="1259"/>
      <c r="D634" s="1259"/>
      <c r="E634" s="1259"/>
      <c r="F634" s="1259"/>
      <c r="G634" s="1259"/>
      <c r="H634" s="1259"/>
      <c r="I634" s="1259"/>
      <c r="J634" s="1259"/>
      <c r="K634" s="1259"/>
      <c r="L634" s="1259"/>
      <c r="M634" s="1259"/>
      <c r="N634" s="1259"/>
      <c r="O634" s="1259"/>
      <c r="P634" s="1259"/>
      <c r="Q634" s="1259"/>
      <c r="R634" s="1259"/>
      <c r="S634" s="1259"/>
      <c r="T634" s="1259"/>
      <c r="U634" s="1259"/>
      <c r="V634" s="1259"/>
      <c r="W634" s="1259"/>
      <c r="X634" s="1259"/>
      <c r="Y634" s="1259"/>
      <c r="Z634" s="1259"/>
    </row>
    <row r="635" spans="1:26" ht="15.75" customHeight="1">
      <c r="A635" s="1259"/>
      <c r="B635" s="1259"/>
      <c r="C635" s="1259"/>
      <c r="D635" s="1259"/>
      <c r="E635" s="1259"/>
      <c r="F635" s="1259"/>
      <c r="G635" s="1259"/>
      <c r="H635" s="1259"/>
      <c r="I635" s="1259"/>
      <c r="J635" s="1259"/>
      <c r="K635" s="1259"/>
      <c r="L635" s="1259"/>
      <c r="M635" s="1259"/>
      <c r="N635" s="1259"/>
      <c r="O635" s="1259"/>
      <c r="P635" s="1259"/>
      <c r="Q635" s="1259"/>
      <c r="R635" s="1259"/>
      <c r="S635" s="1259"/>
      <c r="T635" s="1259"/>
      <c r="U635" s="1259"/>
      <c r="V635" s="1259"/>
      <c r="W635" s="1259"/>
      <c r="X635" s="1259"/>
      <c r="Y635" s="1259"/>
      <c r="Z635" s="1259"/>
    </row>
    <row r="636" spans="1:26" ht="15.75" customHeight="1">
      <c r="A636" s="1259"/>
      <c r="B636" s="1259"/>
      <c r="C636" s="1259"/>
      <c r="D636" s="1259"/>
      <c r="E636" s="1259"/>
      <c r="F636" s="1259"/>
      <c r="G636" s="1259"/>
      <c r="H636" s="1259"/>
      <c r="I636" s="1259"/>
      <c r="J636" s="1259"/>
      <c r="K636" s="1259"/>
      <c r="L636" s="1259"/>
      <c r="M636" s="1259"/>
      <c r="N636" s="1259"/>
      <c r="O636" s="1259"/>
      <c r="P636" s="1259"/>
      <c r="Q636" s="1259"/>
      <c r="R636" s="1259"/>
      <c r="S636" s="1259"/>
      <c r="T636" s="1259"/>
      <c r="U636" s="1259"/>
      <c r="V636" s="1259"/>
      <c r="W636" s="1259"/>
      <c r="X636" s="1259"/>
      <c r="Y636" s="1259"/>
      <c r="Z636" s="1259"/>
    </row>
    <row r="637" spans="1:26" ht="15.75" customHeight="1">
      <c r="A637" s="1259"/>
      <c r="B637" s="1259"/>
      <c r="C637" s="1259"/>
      <c r="D637" s="1259"/>
      <c r="E637" s="1259"/>
      <c r="F637" s="1259"/>
      <c r="G637" s="1259"/>
      <c r="H637" s="1259"/>
      <c r="I637" s="1259"/>
      <c r="J637" s="1259"/>
      <c r="K637" s="1259"/>
      <c r="L637" s="1259"/>
      <c r="M637" s="1259"/>
      <c r="N637" s="1259"/>
      <c r="O637" s="1259"/>
      <c r="P637" s="1259"/>
      <c r="Q637" s="1259"/>
      <c r="R637" s="1259"/>
      <c r="S637" s="1259"/>
      <c r="T637" s="1259"/>
      <c r="U637" s="1259"/>
      <c r="V637" s="1259"/>
      <c r="W637" s="1259"/>
      <c r="X637" s="1259"/>
      <c r="Y637" s="1259"/>
      <c r="Z637" s="1259"/>
    </row>
    <row r="638" spans="1:26" ht="15.75" customHeight="1">
      <c r="A638" s="1259"/>
      <c r="B638" s="1259"/>
      <c r="C638" s="1259"/>
      <c r="D638" s="1259"/>
      <c r="E638" s="1259"/>
      <c r="F638" s="1259"/>
      <c r="G638" s="1259"/>
      <c r="H638" s="1259"/>
      <c r="I638" s="1259"/>
      <c r="J638" s="1259"/>
      <c r="K638" s="1259"/>
      <c r="L638" s="1259"/>
      <c r="M638" s="1259"/>
      <c r="N638" s="1259"/>
      <c r="O638" s="1259"/>
      <c r="P638" s="1259"/>
      <c r="Q638" s="1259"/>
      <c r="R638" s="1259"/>
      <c r="S638" s="1259"/>
      <c r="T638" s="1259"/>
      <c r="U638" s="1259"/>
      <c r="V638" s="1259"/>
      <c r="W638" s="1259"/>
      <c r="X638" s="1259"/>
      <c r="Y638" s="1259"/>
      <c r="Z638" s="1259"/>
    </row>
    <row r="639" spans="1:26" ht="15.75" customHeight="1">
      <c r="A639" s="1259"/>
      <c r="B639" s="1259"/>
      <c r="C639" s="1259"/>
      <c r="D639" s="1259"/>
      <c r="E639" s="1259"/>
      <c r="F639" s="1259"/>
      <c r="G639" s="1259"/>
      <c r="H639" s="1259"/>
      <c r="I639" s="1259"/>
      <c r="J639" s="1259"/>
      <c r="K639" s="1259"/>
      <c r="L639" s="1259"/>
      <c r="M639" s="1259"/>
      <c r="N639" s="1259"/>
      <c r="O639" s="1259"/>
      <c r="P639" s="1259"/>
      <c r="Q639" s="1259"/>
      <c r="R639" s="1259"/>
      <c r="S639" s="1259"/>
      <c r="T639" s="1259"/>
      <c r="U639" s="1259"/>
      <c r="V639" s="1259"/>
      <c r="W639" s="1259"/>
      <c r="X639" s="1259"/>
      <c r="Y639" s="1259"/>
      <c r="Z639" s="1259"/>
    </row>
    <row r="640" spans="1:26" ht="15.75" customHeight="1">
      <c r="A640" s="1259"/>
      <c r="B640" s="1259"/>
      <c r="C640" s="1259"/>
      <c r="D640" s="1259"/>
      <c r="E640" s="1259"/>
      <c r="F640" s="1259"/>
      <c r="G640" s="1259"/>
      <c r="H640" s="1259"/>
      <c r="I640" s="1259"/>
      <c r="J640" s="1259"/>
      <c r="K640" s="1259"/>
      <c r="L640" s="1259"/>
      <c r="M640" s="1259"/>
      <c r="N640" s="1259"/>
      <c r="O640" s="1259"/>
      <c r="P640" s="1259"/>
      <c r="Q640" s="1259"/>
      <c r="R640" s="1259"/>
      <c r="S640" s="1259"/>
      <c r="T640" s="1259"/>
      <c r="U640" s="1259"/>
      <c r="V640" s="1259"/>
      <c r="W640" s="1259"/>
      <c r="X640" s="1259"/>
      <c r="Y640" s="1259"/>
      <c r="Z640" s="1259"/>
    </row>
    <row r="641" spans="1:26" ht="15.75" customHeight="1">
      <c r="A641" s="1259"/>
      <c r="B641" s="1259"/>
      <c r="C641" s="1259"/>
      <c r="D641" s="1259"/>
      <c r="E641" s="1259"/>
      <c r="F641" s="1259"/>
      <c r="G641" s="1259"/>
      <c r="H641" s="1259"/>
      <c r="I641" s="1259"/>
      <c r="J641" s="1259"/>
      <c r="K641" s="1259"/>
      <c r="L641" s="1259"/>
      <c r="M641" s="1259"/>
      <c r="N641" s="1259"/>
      <c r="O641" s="1259"/>
      <c r="P641" s="1259"/>
      <c r="Q641" s="1259"/>
      <c r="R641" s="1259"/>
      <c r="S641" s="1259"/>
      <c r="T641" s="1259"/>
      <c r="U641" s="1259"/>
      <c r="V641" s="1259"/>
      <c r="W641" s="1259"/>
      <c r="X641" s="1259"/>
      <c r="Y641" s="1259"/>
      <c r="Z641" s="1259"/>
    </row>
    <row r="642" spans="1:26" ht="15.75" customHeight="1">
      <c r="A642" s="1259"/>
      <c r="B642" s="1259"/>
      <c r="C642" s="1259"/>
      <c r="D642" s="1259"/>
      <c r="E642" s="1259"/>
      <c r="F642" s="1259"/>
      <c r="G642" s="1259"/>
      <c r="H642" s="1259"/>
      <c r="I642" s="1259"/>
      <c r="J642" s="1259"/>
      <c r="K642" s="1259"/>
      <c r="L642" s="1259"/>
      <c r="M642" s="1259"/>
      <c r="N642" s="1259"/>
      <c r="O642" s="1259"/>
      <c r="P642" s="1259"/>
      <c r="Q642" s="1259"/>
      <c r="R642" s="1259"/>
      <c r="S642" s="1259"/>
      <c r="T642" s="1259"/>
      <c r="U642" s="1259"/>
      <c r="V642" s="1259"/>
      <c r="W642" s="1259"/>
      <c r="X642" s="1259"/>
      <c r="Y642" s="1259"/>
      <c r="Z642" s="1259"/>
    </row>
    <row r="643" spans="1:26" ht="15.75" customHeight="1">
      <c r="A643" s="1259"/>
      <c r="B643" s="1259"/>
      <c r="C643" s="1259"/>
      <c r="D643" s="1259"/>
      <c r="E643" s="1259"/>
      <c r="F643" s="1259"/>
      <c r="G643" s="1259"/>
      <c r="H643" s="1259"/>
      <c r="I643" s="1259"/>
      <c r="J643" s="1259"/>
      <c r="K643" s="1259"/>
      <c r="L643" s="1259"/>
      <c r="M643" s="1259"/>
      <c r="N643" s="1259"/>
      <c r="O643" s="1259"/>
      <c r="P643" s="1259"/>
      <c r="Q643" s="1259"/>
      <c r="R643" s="1259"/>
      <c r="S643" s="1259"/>
      <c r="T643" s="1259"/>
      <c r="U643" s="1259"/>
      <c r="V643" s="1259"/>
      <c r="W643" s="1259"/>
      <c r="X643" s="1259"/>
      <c r="Y643" s="1259"/>
      <c r="Z643" s="1259"/>
    </row>
    <row r="644" spans="1:26" ht="15.75" customHeight="1">
      <c r="A644" s="1259"/>
      <c r="B644" s="1259"/>
      <c r="C644" s="1259"/>
      <c r="D644" s="1259"/>
      <c r="E644" s="1259"/>
      <c r="F644" s="1259"/>
      <c r="G644" s="1259"/>
      <c r="H644" s="1259"/>
      <c r="I644" s="1259"/>
      <c r="J644" s="1259"/>
      <c r="K644" s="1259"/>
      <c r="L644" s="1259"/>
      <c r="M644" s="1259"/>
      <c r="N644" s="1259"/>
      <c r="O644" s="1259"/>
      <c r="P644" s="1259"/>
      <c r="Q644" s="1259"/>
      <c r="R644" s="1259"/>
      <c r="S644" s="1259"/>
      <c r="T644" s="1259"/>
      <c r="U644" s="1259"/>
      <c r="V644" s="1259"/>
      <c r="W644" s="1259"/>
      <c r="X644" s="1259"/>
      <c r="Y644" s="1259"/>
      <c r="Z644" s="1259"/>
    </row>
    <row r="645" spans="1:26" ht="15.75" customHeight="1">
      <c r="A645" s="1259"/>
      <c r="B645" s="1259"/>
      <c r="C645" s="1259"/>
      <c r="D645" s="1259"/>
      <c r="E645" s="1259"/>
      <c r="F645" s="1259"/>
      <c r="G645" s="1259"/>
      <c r="H645" s="1259"/>
      <c r="I645" s="1259"/>
      <c r="J645" s="1259"/>
      <c r="K645" s="1259"/>
      <c r="L645" s="1259"/>
      <c r="M645" s="1259"/>
      <c r="N645" s="1259"/>
      <c r="O645" s="1259"/>
      <c r="P645" s="1259"/>
      <c r="Q645" s="1259"/>
      <c r="R645" s="1259"/>
      <c r="S645" s="1259"/>
      <c r="T645" s="1259"/>
      <c r="U645" s="1259"/>
      <c r="V645" s="1259"/>
      <c r="W645" s="1259"/>
      <c r="X645" s="1259"/>
      <c r="Y645" s="1259"/>
      <c r="Z645" s="1259"/>
    </row>
    <row r="646" spans="1:26" ht="15.75" customHeight="1">
      <c r="A646" s="1259"/>
      <c r="B646" s="1259"/>
      <c r="C646" s="1259"/>
      <c r="D646" s="1259"/>
      <c r="E646" s="1259"/>
      <c r="F646" s="1259"/>
      <c r="G646" s="1259"/>
      <c r="H646" s="1259"/>
      <c r="I646" s="1259"/>
      <c r="J646" s="1259"/>
      <c r="K646" s="1259"/>
      <c r="L646" s="1259"/>
      <c r="M646" s="1259"/>
      <c r="N646" s="1259"/>
      <c r="O646" s="1259"/>
      <c r="P646" s="1259"/>
      <c r="Q646" s="1259"/>
      <c r="R646" s="1259"/>
      <c r="S646" s="1259"/>
      <c r="T646" s="1259"/>
      <c r="U646" s="1259"/>
      <c r="V646" s="1259"/>
      <c r="W646" s="1259"/>
      <c r="X646" s="1259"/>
      <c r="Y646" s="1259"/>
      <c r="Z646" s="1259"/>
    </row>
    <row r="647" spans="1:26" ht="15.75" customHeight="1">
      <c r="A647" s="1259"/>
      <c r="B647" s="1259"/>
      <c r="C647" s="1259"/>
      <c r="D647" s="1259"/>
      <c r="E647" s="1259"/>
      <c r="F647" s="1259"/>
      <c r="G647" s="1259"/>
      <c r="H647" s="1259"/>
      <c r="I647" s="1259"/>
      <c r="J647" s="1259"/>
      <c r="K647" s="1259"/>
      <c r="L647" s="1259"/>
      <c r="M647" s="1259"/>
      <c r="N647" s="1259"/>
      <c r="O647" s="1259"/>
      <c r="P647" s="1259"/>
      <c r="Q647" s="1259"/>
      <c r="R647" s="1259"/>
      <c r="S647" s="1259"/>
      <c r="T647" s="1259"/>
      <c r="U647" s="1259"/>
      <c r="V647" s="1259"/>
      <c r="W647" s="1259"/>
      <c r="X647" s="1259"/>
      <c r="Y647" s="1259"/>
      <c r="Z647" s="1259"/>
    </row>
    <row r="648" spans="1:26" ht="15.75" customHeight="1">
      <c r="A648" s="1259"/>
      <c r="B648" s="1259"/>
      <c r="C648" s="1259"/>
      <c r="D648" s="1259"/>
      <c r="E648" s="1259"/>
      <c r="F648" s="1259"/>
      <c r="G648" s="1259"/>
      <c r="H648" s="1259"/>
      <c r="I648" s="1259"/>
      <c r="J648" s="1259"/>
      <c r="K648" s="1259"/>
      <c r="L648" s="1259"/>
      <c r="M648" s="1259"/>
      <c r="N648" s="1259"/>
      <c r="O648" s="1259"/>
      <c r="P648" s="1259"/>
      <c r="Q648" s="1259"/>
      <c r="R648" s="1259"/>
      <c r="S648" s="1259"/>
      <c r="T648" s="1259"/>
      <c r="U648" s="1259"/>
      <c r="V648" s="1259"/>
      <c r="W648" s="1259"/>
      <c r="X648" s="1259"/>
      <c r="Y648" s="1259"/>
      <c r="Z648" s="1259"/>
    </row>
    <row r="649" spans="1:26" ht="15.75" customHeight="1">
      <c r="A649" s="1259"/>
      <c r="B649" s="1259"/>
      <c r="C649" s="1259"/>
      <c r="D649" s="1259"/>
      <c r="E649" s="1259"/>
      <c r="F649" s="1259"/>
      <c r="G649" s="1259"/>
      <c r="H649" s="1259"/>
      <c r="I649" s="1259"/>
      <c r="J649" s="1259"/>
      <c r="K649" s="1259"/>
      <c r="L649" s="1259"/>
      <c r="M649" s="1259"/>
      <c r="N649" s="1259"/>
      <c r="O649" s="1259"/>
      <c r="P649" s="1259"/>
      <c r="Q649" s="1259"/>
      <c r="R649" s="1259"/>
      <c r="S649" s="1259"/>
      <c r="T649" s="1259"/>
      <c r="U649" s="1259"/>
      <c r="V649" s="1259"/>
      <c r="W649" s="1259"/>
      <c r="X649" s="1259"/>
      <c r="Y649" s="1259"/>
      <c r="Z649" s="1259"/>
    </row>
    <row r="650" spans="1:26" ht="15.75" customHeight="1">
      <c r="A650" s="1259"/>
      <c r="B650" s="1259"/>
      <c r="C650" s="1259"/>
      <c r="D650" s="1259"/>
      <c r="E650" s="1259"/>
      <c r="F650" s="1259"/>
      <c r="G650" s="1259"/>
      <c r="H650" s="1259"/>
      <c r="I650" s="1259"/>
      <c r="J650" s="1259"/>
      <c r="K650" s="1259"/>
      <c r="L650" s="1259"/>
      <c r="M650" s="1259"/>
      <c r="N650" s="1259"/>
      <c r="O650" s="1259"/>
      <c r="P650" s="1259"/>
      <c r="Q650" s="1259"/>
      <c r="R650" s="1259"/>
      <c r="S650" s="1259"/>
      <c r="T650" s="1259"/>
      <c r="U650" s="1259"/>
      <c r="V650" s="1259"/>
      <c r="W650" s="1259"/>
      <c r="X650" s="1259"/>
      <c r="Y650" s="1259"/>
      <c r="Z650" s="1259"/>
    </row>
    <row r="651" spans="1:26" ht="15.75" customHeight="1">
      <c r="A651" s="1259"/>
      <c r="B651" s="1259"/>
      <c r="C651" s="1259"/>
      <c r="D651" s="1259"/>
      <c r="E651" s="1259"/>
      <c r="F651" s="1259"/>
      <c r="G651" s="1259"/>
      <c r="H651" s="1259"/>
      <c r="I651" s="1259"/>
      <c r="J651" s="1259"/>
      <c r="K651" s="1259"/>
      <c r="L651" s="1259"/>
      <c r="M651" s="1259"/>
      <c r="N651" s="1259"/>
      <c r="O651" s="1259"/>
      <c r="P651" s="1259"/>
      <c r="Q651" s="1259"/>
      <c r="R651" s="1259"/>
      <c r="S651" s="1259"/>
      <c r="T651" s="1259"/>
      <c r="U651" s="1259"/>
      <c r="V651" s="1259"/>
      <c r="W651" s="1259"/>
      <c r="X651" s="1259"/>
      <c r="Y651" s="1259"/>
      <c r="Z651" s="1259"/>
    </row>
    <row r="652" spans="1:26" ht="15.75" customHeight="1">
      <c r="A652" s="1259"/>
      <c r="B652" s="1259"/>
      <c r="C652" s="1259"/>
      <c r="D652" s="1259"/>
      <c r="E652" s="1259"/>
      <c r="F652" s="1259"/>
      <c r="G652" s="1259"/>
      <c r="H652" s="1259"/>
      <c r="I652" s="1259"/>
      <c r="J652" s="1259"/>
      <c r="K652" s="1259"/>
      <c r="L652" s="1259"/>
      <c r="M652" s="1259"/>
      <c r="N652" s="1259"/>
      <c r="O652" s="1259"/>
      <c r="P652" s="1259"/>
      <c r="Q652" s="1259"/>
      <c r="R652" s="1259"/>
      <c r="S652" s="1259"/>
      <c r="T652" s="1259"/>
      <c r="U652" s="1259"/>
      <c r="V652" s="1259"/>
      <c r="W652" s="1259"/>
      <c r="X652" s="1259"/>
      <c r="Y652" s="1259"/>
      <c r="Z652" s="1259"/>
    </row>
    <row r="653" spans="1:26" ht="15.75" customHeight="1">
      <c r="A653" s="1259"/>
      <c r="B653" s="1259"/>
      <c r="C653" s="1259"/>
      <c r="D653" s="1259"/>
      <c r="E653" s="1259"/>
      <c r="F653" s="1259"/>
      <c r="G653" s="1259"/>
      <c r="H653" s="1259"/>
      <c r="I653" s="1259"/>
      <c r="J653" s="1259"/>
      <c r="K653" s="1259"/>
      <c r="L653" s="1259"/>
      <c r="M653" s="1259"/>
      <c r="N653" s="1259"/>
      <c r="O653" s="1259"/>
      <c r="P653" s="1259"/>
      <c r="Q653" s="1259"/>
      <c r="R653" s="1259"/>
      <c r="S653" s="1259"/>
      <c r="T653" s="1259"/>
      <c r="U653" s="1259"/>
      <c r="V653" s="1259"/>
      <c r="W653" s="1259"/>
      <c r="X653" s="1259"/>
      <c r="Y653" s="1259"/>
      <c r="Z653" s="1259"/>
    </row>
    <row r="654" spans="1:26" ht="15.75" customHeight="1">
      <c r="A654" s="1259"/>
      <c r="B654" s="1259"/>
      <c r="C654" s="1259"/>
      <c r="D654" s="1259"/>
      <c r="E654" s="1259"/>
      <c r="F654" s="1259"/>
      <c r="G654" s="1259"/>
      <c r="H654" s="1259"/>
      <c r="I654" s="1259"/>
      <c r="J654" s="1259"/>
      <c r="K654" s="1259"/>
      <c r="L654" s="1259"/>
      <c r="M654" s="1259"/>
      <c r="N654" s="1259"/>
      <c r="O654" s="1259"/>
      <c r="P654" s="1259"/>
      <c r="Q654" s="1259"/>
      <c r="R654" s="1259"/>
      <c r="S654" s="1259"/>
      <c r="T654" s="1259"/>
      <c r="U654" s="1259"/>
      <c r="V654" s="1259"/>
      <c r="W654" s="1259"/>
      <c r="X654" s="1259"/>
      <c r="Y654" s="1259"/>
      <c r="Z654" s="1259"/>
    </row>
    <row r="655" spans="1:26" ht="15.75" customHeight="1">
      <c r="A655" s="1259"/>
      <c r="B655" s="1259"/>
      <c r="C655" s="1259"/>
      <c r="D655" s="1259"/>
      <c r="E655" s="1259"/>
      <c r="F655" s="1259"/>
      <c r="G655" s="1259"/>
      <c r="H655" s="1259"/>
      <c r="I655" s="1259"/>
      <c r="J655" s="1259"/>
      <c r="K655" s="1259"/>
      <c r="L655" s="1259"/>
      <c r="M655" s="1259"/>
      <c r="N655" s="1259"/>
      <c r="O655" s="1259"/>
      <c r="P655" s="1259"/>
      <c r="Q655" s="1259"/>
      <c r="R655" s="1259"/>
      <c r="S655" s="1259"/>
      <c r="T655" s="1259"/>
      <c r="U655" s="1259"/>
      <c r="V655" s="1259"/>
      <c r="W655" s="1259"/>
      <c r="X655" s="1259"/>
      <c r="Y655" s="1259"/>
      <c r="Z655" s="1259"/>
    </row>
    <row r="656" spans="1:26" ht="15.75" customHeight="1">
      <c r="A656" s="1259"/>
      <c r="B656" s="1259"/>
      <c r="C656" s="1259"/>
      <c r="D656" s="1259"/>
      <c r="E656" s="1259"/>
      <c r="F656" s="1259"/>
      <c r="G656" s="1259"/>
      <c r="H656" s="1259"/>
      <c r="I656" s="1259"/>
      <c r="J656" s="1259"/>
      <c r="K656" s="1259"/>
      <c r="L656" s="1259"/>
      <c r="M656" s="1259"/>
      <c r="N656" s="1259"/>
      <c r="O656" s="1259"/>
      <c r="P656" s="1259"/>
      <c r="Q656" s="1259"/>
      <c r="R656" s="1259"/>
      <c r="S656" s="1259"/>
      <c r="T656" s="1259"/>
      <c r="U656" s="1259"/>
      <c r="V656" s="1259"/>
      <c r="W656" s="1259"/>
      <c r="X656" s="1259"/>
      <c r="Y656" s="1259"/>
      <c r="Z656" s="1259"/>
    </row>
    <row r="657" spans="1:26" ht="15.75" customHeight="1">
      <c r="A657" s="1259"/>
      <c r="B657" s="1259"/>
      <c r="C657" s="1259"/>
      <c r="D657" s="1259"/>
      <c r="E657" s="1259"/>
      <c r="F657" s="1259"/>
      <c r="G657" s="1259"/>
      <c r="H657" s="1259"/>
      <c r="I657" s="1259"/>
      <c r="J657" s="1259"/>
      <c r="K657" s="1259"/>
      <c r="L657" s="1259"/>
      <c r="M657" s="1259"/>
      <c r="N657" s="1259"/>
      <c r="O657" s="1259"/>
      <c r="P657" s="1259"/>
      <c r="Q657" s="1259"/>
      <c r="R657" s="1259"/>
      <c r="S657" s="1259"/>
      <c r="T657" s="1259"/>
      <c r="U657" s="1259"/>
      <c r="V657" s="1259"/>
      <c r="W657" s="1259"/>
      <c r="X657" s="1259"/>
      <c r="Y657" s="1259"/>
      <c r="Z657" s="1259"/>
    </row>
    <row r="658" spans="1:26" ht="15.75" customHeight="1">
      <c r="A658" s="1259"/>
      <c r="B658" s="1259"/>
      <c r="C658" s="1259"/>
      <c r="D658" s="1259"/>
      <c r="E658" s="1259"/>
      <c r="F658" s="1259"/>
      <c r="G658" s="1259"/>
      <c r="H658" s="1259"/>
      <c r="I658" s="1259"/>
      <c r="J658" s="1259"/>
      <c r="K658" s="1259"/>
      <c r="L658" s="1259"/>
      <c r="M658" s="1259"/>
      <c r="N658" s="1259"/>
      <c r="O658" s="1259"/>
      <c r="P658" s="1259"/>
      <c r="Q658" s="1259"/>
      <c r="R658" s="1259"/>
      <c r="S658" s="1259"/>
      <c r="T658" s="1259"/>
      <c r="U658" s="1259"/>
      <c r="V658" s="1259"/>
      <c r="W658" s="1259"/>
      <c r="X658" s="1259"/>
      <c r="Y658" s="1259"/>
      <c r="Z658" s="1259"/>
    </row>
    <row r="659" spans="1:26" ht="15.75" customHeight="1">
      <c r="A659" s="1259"/>
      <c r="B659" s="1259"/>
      <c r="C659" s="1259"/>
      <c r="D659" s="1259"/>
      <c r="E659" s="1259"/>
      <c r="F659" s="1259"/>
      <c r="G659" s="1259"/>
      <c r="H659" s="1259"/>
      <c r="I659" s="1259"/>
      <c r="J659" s="1259"/>
      <c r="K659" s="1259"/>
      <c r="L659" s="1259"/>
      <c r="M659" s="1259"/>
      <c r="N659" s="1259"/>
      <c r="O659" s="1259"/>
      <c r="P659" s="1259"/>
      <c r="Q659" s="1259"/>
      <c r="R659" s="1259"/>
      <c r="S659" s="1259"/>
      <c r="T659" s="1259"/>
      <c r="U659" s="1259"/>
      <c r="V659" s="1259"/>
      <c r="W659" s="1259"/>
      <c r="X659" s="1259"/>
      <c r="Y659" s="1259"/>
      <c r="Z659" s="1259"/>
    </row>
    <row r="660" spans="1:26" ht="15.75" customHeight="1">
      <c r="A660" s="1259"/>
      <c r="B660" s="1259"/>
      <c r="C660" s="1259"/>
      <c r="D660" s="1259"/>
      <c r="E660" s="1259"/>
      <c r="F660" s="1259"/>
      <c r="G660" s="1259"/>
      <c r="H660" s="1259"/>
      <c r="I660" s="1259"/>
      <c r="J660" s="1259"/>
      <c r="K660" s="1259"/>
      <c r="L660" s="1259"/>
      <c r="M660" s="1259"/>
      <c r="N660" s="1259"/>
      <c r="O660" s="1259"/>
      <c r="P660" s="1259"/>
      <c r="Q660" s="1259"/>
      <c r="R660" s="1259"/>
      <c r="S660" s="1259"/>
      <c r="T660" s="1259"/>
      <c r="U660" s="1259"/>
      <c r="V660" s="1259"/>
      <c r="W660" s="1259"/>
      <c r="X660" s="1259"/>
      <c r="Y660" s="1259"/>
      <c r="Z660" s="1259"/>
    </row>
    <row r="661" spans="1:26" ht="15.75" customHeight="1">
      <c r="A661" s="1259"/>
      <c r="B661" s="1259"/>
      <c r="C661" s="1259"/>
      <c r="D661" s="1259"/>
      <c r="E661" s="1259"/>
      <c r="F661" s="1259"/>
      <c r="G661" s="1259"/>
      <c r="H661" s="1259"/>
      <c r="I661" s="1259"/>
      <c r="J661" s="1259"/>
      <c r="K661" s="1259"/>
      <c r="L661" s="1259"/>
      <c r="M661" s="1259"/>
      <c r="N661" s="1259"/>
      <c r="O661" s="1259"/>
      <c r="P661" s="1259"/>
      <c r="Q661" s="1259"/>
      <c r="R661" s="1259"/>
      <c r="S661" s="1259"/>
      <c r="T661" s="1259"/>
      <c r="U661" s="1259"/>
      <c r="V661" s="1259"/>
      <c r="W661" s="1259"/>
      <c r="X661" s="1259"/>
      <c r="Y661" s="1259"/>
      <c r="Z661" s="1259"/>
    </row>
    <row r="662" spans="1:26" ht="15.75" customHeight="1">
      <c r="A662" s="1259"/>
      <c r="B662" s="1259"/>
      <c r="C662" s="1259"/>
      <c r="D662" s="1259"/>
      <c r="E662" s="1259"/>
      <c r="F662" s="1259"/>
      <c r="G662" s="1259"/>
      <c r="H662" s="1259"/>
      <c r="I662" s="1259"/>
      <c r="J662" s="1259"/>
      <c r="K662" s="1259"/>
      <c r="L662" s="1259"/>
      <c r="M662" s="1259"/>
      <c r="N662" s="1259"/>
      <c r="O662" s="1259"/>
      <c r="P662" s="1259"/>
      <c r="Q662" s="1259"/>
      <c r="R662" s="1259"/>
      <c r="S662" s="1259"/>
      <c r="T662" s="1259"/>
      <c r="U662" s="1259"/>
      <c r="V662" s="1259"/>
      <c r="W662" s="1259"/>
      <c r="X662" s="1259"/>
      <c r="Y662" s="1259"/>
      <c r="Z662" s="1259"/>
    </row>
    <row r="663" spans="1:26" ht="15.75" customHeight="1">
      <c r="A663" s="1259"/>
      <c r="B663" s="1259"/>
      <c r="C663" s="1259"/>
      <c r="D663" s="1259"/>
      <c r="E663" s="1259"/>
      <c r="F663" s="1259"/>
      <c r="G663" s="1259"/>
      <c r="H663" s="1259"/>
      <c r="I663" s="1259"/>
      <c r="J663" s="1259"/>
      <c r="K663" s="1259"/>
      <c r="L663" s="1259"/>
      <c r="M663" s="1259"/>
      <c r="N663" s="1259"/>
      <c r="O663" s="1259"/>
      <c r="P663" s="1259"/>
      <c r="Q663" s="1259"/>
      <c r="R663" s="1259"/>
      <c r="S663" s="1259"/>
      <c r="T663" s="1259"/>
      <c r="U663" s="1259"/>
      <c r="V663" s="1259"/>
      <c r="W663" s="1259"/>
      <c r="X663" s="1259"/>
      <c r="Y663" s="1259"/>
      <c r="Z663" s="1259"/>
    </row>
    <row r="664" spans="1:26" ht="15.75" customHeight="1">
      <c r="A664" s="1259"/>
      <c r="B664" s="1259"/>
      <c r="C664" s="1259"/>
      <c r="D664" s="1259"/>
      <c r="E664" s="1259"/>
      <c r="F664" s="1259"/>
      <c r="G664" s="1259"/>
      <c r="H664" s="1259"/>
      <c r="I664" s="1259"/>
      <c r="J664" s="1259"/>
      <c r="K664" s="1259"/>
      <c r="L664" s="1259"/>
      <c r="M664" s="1259"/>
      <c r="N664" s="1259"/>
      <c r="O664" s="1259"/>
      <c r="P664" s="1259"/>
      <c r="Q664" s="1259"/>
      <c r="R664" s="1259"/>
      <c r="S664" s="1259"/>
      <c r="T664" s="1259"/>
      <c r="U664" s="1259"/>
      <c r="V664" s="1259"/>
      <c r="W664" s="1259"/>
      <c r="X664" s="1259"/>
      <c r="Y664" s="1259"/>
      <c r="Z664" s="1259"/>
    </row>
    <row r="665" spans="1:26" ht="15.75" customHeight="1">
      <c r="A665" s="1259"/>
      <c r="B665" s="1259"/>
      <c r="C665" s="1259"/>
      <c r="D665" s="1259"/>
      <c r="E665" s="1259"/>
      <c r="F665" s="1259"/>
      <c r="G665" s="1259"/>
      <c r="H665" s="1259"/>
      <c r="I665" s="1259"/>
      <c r="J665" s="1259"/>
      <c r="K665" s="1259"/>
      <c r="L665" s="1259"/>
      <c r="M665" s="1259"/>
      <c r="N665" s="1259"/>
      <c r="O665" s="1259"/>
      <c r="P665" s="1259"/>
      <c r="Q665" s="1259"/>
      <c r="R665" s="1259"/>
      <c r="S665" s="1259"/>
      <c r="T665" s="1259"/>
      <c r="U665" s="1259"/>
      <c r="V665" s="1259"/>
      <c r="W665" s="1259"/>
      <c r="X665" s="1259"/>
      <c r="Y665" s="1259"/>
      <c r="Z665" s="1259"/>
    </row>
    <row r="666" spans="1:26" ht="15.75" customHeight="1">
      <c r="A666" s="1259"/>
      <c r="B666" s="1259"/>
      <c r="C666" s="1259"/>
      <c r="D666" s="1259"/>
      <c r="E666" s="1259"/>
      <c r="F666" s="1259"/>
      <c r="G666" s="1259"/>
      <c r="H666" s="1259"/>
      <c r="I666" s="1259"/>
      <c r="J666" s="1259"/>
      <c r="K666" s="1259"/>
      <c r="L666" s="1259"/>
      <c r="M666" s="1259"/>
      <c r="N666" s="1259"/>
      <c r="O666" s="1259"/>
      <c r="P666" s="1259"/>
      <c r="Q666" s="1259"/>
      <c r="R666" s="1259"/>
      <c r="S666" s="1259"/>
      <c r="T666" s="1259"/>
      <c r="U666" s="1259"/>
      <c r="V666" s="1259"/>
      <c r="W666" s="1259"/>
      <c r="X666" s="1259"/>
      <c r="Y666" s="1259"/>
      <c r="Z666" s="1259"/>
    </row>
    <row r="667" spans="1:26" ht="15.75" customHeight="1">
      <c r="A667" s="1259"/>
      <c r="B667" s="1259"/>
      <c r="C667" s="1259"/>
      <c r="D667" s="1259"/>
      <c r="E667" s="1259"/>
      <c r="F667" s="1259"/>
      <c r="G667" s="1259"/>
      <c r="H667" s="1259"/>
      <c r="I667" s="1259"/>
      <c r="J667" s="1259"/>
      <c r="K667" s="1259"/>
      <c r="L667" s="1259"/>
      <c r="M667" s="1259"/>
      <c r="N667" s="1259"/>
      <c r="O667" s="1259"/>
      <c r="P667" s="1259"/>
      <c r="Q667" s="1259"/>
      <c r="R667" s="1259"/>
      <c r="S667" s="1259"/>
      <c r="T667" s="1259"/>
      <c r="U667" s="1259"/>
      <c r="V667" s="1259"/>
      <c r="W667" s="1259"/>
      <c r="X667" s="1259"/>
      <c r="Y667" s="1259"/>
      <c r="Z667" s="1259"/>
    </row>
    <row r="668" spans="1:26" ht="15.75" customHeight="1">
      <c r="A668" s="1259"/>
      <c r="B668" s="1259"/>
      <c r="C668" s="1259"/>
      <c r="D668" s="1259"/>
      <c r="E668" s="1259"/>
      <c r="F668" s="1259"/>
      <c r="G668" s="1259"/>
      <c r="H668" s="1259"/>
      <c r="I668" s="1259"/>
      <c r="J668" s="1259"/>
      <c r="K668" s="1259"/>
      <c r="L668" s="1259"/>
      <c r="M668" s="1259"/>
      <c r="N668" s="1259"/>
      <c r="O668" s="1259"/>
      <c r="P668" s="1259"/>
      <c r="Q668" s="1259"/>
      <c r="R668" s="1259"/>
      <c r="S668" s="1259"/>
      <c r="T668" s="1259"/>
      <c r="U668" s="1259"/>
      <c r="V668" s="1259"/>
      <c r="W668" s="1259"/>
      <c r="X668" s="1259"/>
      <c r="Y668" s="1259"/>
      <c r="Z668" s="1259"/>
    </row>
    <row r="669" spans="1:26" ht="15.75" customHeight="1">
      <c r="A669" s="1259"/>
      <c r="B669" s="1259"/>
      <c r="C669" s="1259"/>
      <c r="D669" s="1259"/>
      <c r="E669" s="1259"/>
      <c r="F669" s="1259"/>
      <c r="G669" s="1259"/>
      <c r="H669" s="1259"/>
      <c r="I669" s="1259"/>
      <c r="J669" s="1259"/>
      <c r="K669" s="1259"/>
      <c r="L669" s="1259"/>
      <c r="M669" s="1259"/>
      <c r="N669" s="1259"/>
      <c r="O669" s="1259"/>
      <c r="P669" s="1259"/>
      <c r="Q669" s="1259"/>
      <c r="R669" s="1259"/>
      <c r="S669" s="1259"/>
      <c r="T669" s="1259"/>
      <c r="U669" s="1259"/>
      <c r="V669" s="1259"/>
      <c r="W669" s="1259"/>
      <c r="X669" s="1259"/>
      <c r="Y669" s="1259"/>
      <c r="Z669" s="1259"/>
    </row>
    <row r="670" spans="1:26" ht="15.75" customHeight="1">
      <c r="A670" s="1259"/>
      <c r="B670" s="1259"/>
      <c r="C670" s="1259"/>
      <c r="D670" s="1259"/>
      <c r="E670" s="1259"/>
      <c r="F670" s="1259"/>
      <c r="G670" s="1259"/>
      <c r="H670" s="1259"/>
      <c r="I670" s="1259"/>
      <c r="J670" s="1259"/>
      <c r="K670" s="1259"/>
      <c r="L670" s="1259"/>
      <c r="M670" s="1259"/>
      <c r="N670" s="1259"/>
      <c r="O670" s="1259"/>
      <c r="P670" s="1259"/>
      <c r="Q670" s="1259"/>
      <c r="R670" s="1259"/>
      <c r="S670" s="1259"/>
      <c r="T670" s="1259"/>
      <c r="U670" s="1259"/>
      <c r="V670" s="1259"/>
      <c r="W670" s="1259"/>
      <c r="X670" s="1259"/>
      <c r="Y670" s="1259"/>
      <c r="Z670" s="1259"/>
    </row>
    <row r="671" spans="1:26" ht="15.75" customHeight="1">
      <c r="A671" s="1259"/>
      <c r="B671" s="1259"/>
      <c r="C671" s="1259"/>
      <c r="D671" s="1259"/>
      <c r="E671" s="1259"/>
      <c r="F671" s="1259"/>
      <c r="G671" s="1259"/>
      <c r="H671" s="1259"/>
      <c r="I671" s="1259"/>
      <c r="J671" s="1259"/>
      <c r="K671" s="1259"/>
      <c r="L671" s="1259"/>
      <c r="M671" s="1259"/>
      <c r="N671" s="1259"/>
      <c r="O671" s="1259"/>
      <c r="P671" s="1259"/>
      <c r="Q671" s="1259"/>
      <c r="R671" s="1259"/>
      <c r="S671" s="1259"/>
      <c r="T671" s="1259"/>
      <c r="U671" s="1259"/>
      <c r="V671" s="1259"/>
      <c r="W671" s="1259"/>
      <c r="X671" s="1259"/>
      <c r="Y671" s="1259"/>
      <c r="Z671" s="1259"/>
    </row>
    <row r="672" spans="1:26" ht="15.75" customHeight="1">
      <c r="A672" s="1259"/>
      <c r="B672" s="1259"/>
      <c r="C672" s="1259"/>
      <c r="D672" s="1259"/>
      <c r="E672" s="1259"/>
      <c r="F672" s="1259"/>
      <c r="G672" s="1259"/>
      <c r="H672" s="1259"/>
      <c r="I672" s="1259"/>
      <c r="J672" s="1259"/>
      <c r="K672" s="1259"/>
      <c r="L672" s="1259"/>
      <c r="M672" s="1259"/>
      <c r="N672" s="1259"/>
      <c r="O672" s="1259"/>
      <c r="P672" s="1259"/>
      <c r="Q672" s="1259"/>
      <c r="R672" s="1259"/>
      <c r="S672" s="1259"/>
      <c r="T672" s="1259"/>
      <c r="U672" s="1259"/>
      <c r="V672" s="1259"/>
      <c r="W672" s="1259"/>
      <c r="X672" s="1259"/>
      <c r="Y672" s="1259"/>
      <c r="Z672" s="1259"/>
    </row>
    <row r="673" spans="1:26" ht="15.75" customHeight="1">
      <c r="A673" s="1259"/>
      <c r="B673" s="1259"/>
      <c r="C673" s="1259"/>
      <c r="D673" s="1259"/>
      <c r="E673" s="1259"/>
      <c r="F673" s="1259"/>
      <c r="G673" s="1259"/>
      <c r="H673" s="1259"/>
      <c r="I673" s="1259"/>
      <c r="J673" s="1259"/>
      <c r="K673" s="1259"/>
      <c r="L673" s="1259"/>
      <c r="M673" s="1259"/>
      <c r="N673" s="1259"/>
      <c r="O673" s="1259"/>
      <c r="P673" s="1259"/>
      <c r="Q673" s="1259"/>
      <c r="R673" s="1259"/>
      <c r="S673" s="1259"/>
      <c r="T673" s="1259"/>
      <c r="U673" s="1259"/>
      <c r="V673" s="1259"/>
      <c r="W673" s="1259"/>
      <c r="X673" s="1259"/>
      <c r="Y673" s="1259"/>
      <c r="Z673" s="1259"/>
    </row>
    <row r="674" spans="1:26" ht="15.75" customHeight="1">
      <c r="A674" s="1259"/>
      <c r="B674" s="1259"/>
      <c r="C674" s="1259"/>
      <c r="D674" s="1259"/>
      <c r="E674" s="1259"/>
      <c r="F674" s="1259"/>
      <c r="G674" s="1259"/>
      <c r="H674" s="1259"/>
      <c r="I674" s="1259"/>
      <c r="J674" s="1259"/>
      <c r="K674" s="1259"/>
      <c r="L674" s="1259"/>
      <c r="M674" s="1259"/>
      <c r="N674" s="1259"/>
      <c r="O674" s="1259"/>
      <c r="P674" s="1259"/>
      <c r="Q674" s="1259"/>
      <c r="R674" s="1259"/>
      <c r="S674" s="1259"/>
      <c r="T674" s="1259"/>
      <c r="U674" s="1259"/>
      <c r="V674" s="1259"/>
      <c r="W674" s="1259"/>
      <c r="X674" s="1259"/>
      <c r="Y674" s="1259"/>
      <c r="Z674" s="1259"/>
    </row>
    <row r="675" spans="1:26" ht="15.75" customHeight="1">
      <c r="A675" s="1259"/>
      <c r="B675" s="1259"/>
      <c r="C675" s="1259"/>
      <c r="D675" s="1259"/>
      <c r="E675" s="1259"/>
      <c r="F675" s="1259"/>
      <c r="G675" s="1259"/>
      <c r="H675" s="1259"/>
      <c r="I675" s="1259"/>
      <c r="J675" s="1259"/>
      <c r="K675" s="1259"/>
      <c r="L675" s="1259"/>
      <c r="M675" s="1259"/>
      <c r="N675" s="1259"/>
      <c r="O675" s="1259"/>
      <c r="P675" s="1259"/>
      <c r="Q675" s="1259"/>
      <c r="R675" s="1259"/>
      <c r="S675" s="1259"/>
      <c r="T675" s="1259"/>
      <c r="U675" s="1259"/>
      <c r="V675" s="1259"/>
      <c r="W675" s="1259"/>
      <c r="X675" s="1259"/>
      <c r="Y675" s="1259"/>
      <c r="Z675" s="1259"/>
    </row>
    <row r="676" spans="1:26" ht="15.75" customHeight="1">
      <c r="A676" s="1259"/>
      <c r="B676" s="1259"/>
      <c r="C676" s="1259"/>
      <c r="D676" s="1259"/>
      <c r="E676" s="1259"/>
      <c r="F676" s="1259"/>
      <c r="G676" s="1259"/>
      <c r="H676" s="1259"/>
      <c r="I676" s="1259"/>
      <c r="J676" s="1259"/>
      <c r="K676" s="1259"/>
      <c r="L676" s="1259"/>
      <c r="M676" s="1259"/>
      <c r="N676" s="1259"/>
      <c r="O676" s="1259"/>
      <c r="P676" s="1259"/>
      <c r="Q676" s="1259"/>
      <c r="R676" s="1259"/>
      <c r="S676" s="1259"/>
      <c r="T676" s="1259"/>
      <c r="U676" s="1259"/>
      <c r="V676" s="1259"/>
      <c r="W676" s="1259"/>
      <c r="X676" s="1259"/>
      <c r="Y676" s="1259"/>
      <c r="Z676" s="1259"/>
    </row>
    <row r="677" spans="1:26" ht="15.75" customHeight="1">
      <c r="A677" s="1259"/>
      <c r="B677" s="1259"/>
      <c r="C677" s="1259"/>
      <c r="D677" s="1259"/>
      <c r="E677" s="1259"/>
      <c r="F677" s="1259"/>
      <c r="G677" s="1259"/>
      <c r="H677" s="1259"/>
      <c r="I677" s="1259"/>
      <c r="J677" s="1259"/>
      <c r="K677" s="1259"/>
      <c r="L677" s="1259"/>
      <c r="M677" s="1259"/>
      <c r="N677" s="1259"/>
      <c r="O677" s="1259"/>
      <c r="P677" s="1259"/>
      <c r="Q677" s="1259"/>
      <c r="R677" s="1259"/>
      <c r="S677" s="1259"/>
      <c r="T677" s="1259"/>
      <c r="U677" s="1259"/>
      <c r="V677" s="1259"/>
      <c r="W677" s="1259"/>
      <c r="X677" s="1259"/>
      <c r="Y677" s="1259"/>
      <c r="Z677" s="1259"/>
    </row>
    <row r="678" spans="1:26" ht="15.75" customHeight="1">
      <c r="A678" s="1259"/>
      <c r="B678" s="1259"/>
      <c r="C678" s="1259"/>
      <c r="D678" s="1259"/>
      <c r="E678" s="1259"/>
      <c r="F678" s="1259"/>
      <c r="G678" s="1259"/>
      <c r="H678" s="1259"/>
      <c r="I678" s="1259"/>
      <c r="J678" s="1259"/>
      <c r="K678" s="1259"/>
      <c r="L678" s="1259"/>
      <c r="M678" s="1259"/>
      <c r="N678" s="1259"/>
      <c r="O678" s="1259"/>
      <c r="P678" s="1259"/>
      <c r="Q678" s="1259"/>
      <c r="R678" s="1259"/>
      <c r="S678" s="1259"/>
      <c r="T678" s="1259"/>
      <c r="U678" s="1259"/>
      <c r="V678" s="1259"/>
      <c r="W678" s="1259"/>
      <c r="X678" s="1259"/>
      <c r="Y678" s="1259"/>
      <c r="Z678" s="1259"/>
    </row>
    <row r="679" spans="1:26" ht="15.75" customHeight="1">
      <c r="A679" s="1259"/>
      <c r="B679" s="1259"/>
      <c r="C679" s="1259"/>
      <c r="D679" s="1259"/>
      <c r="E679" s="1259"/>
      <c r="F679" s="1259"/>
      <c r="G679" s="1259"/>
      <c r="H679" s="1259"/>
      <c r="I679" s="1259"/>
      <c r="J679" s="1259"/>
      <c r="K679" s="1259"/>
      <c r="L679" s="1259"/>
      <c r="M679" s="1259"/>
      <c r="N679" s="1259"/>
      <c r="O679" s="1259"/>
      <c r="P679" s="1259"/>
      <c r="Q679" s="1259"/>
      <c r="R679" s="1259"/>
      <c r="S679" s="1259"/>
      <c r="T679" s="1259"/>
      <c r="U679" s="1259"/>
      <c r="V679" s="1259"/>
      <c r="W679" s="1259"/>
      <c r="X679" s="1259"/>
      <c r="Y679" s="1259"/>
      <c r="Z679" s="1259"/>
    </row>
    <row r="680" spans="1:26" ht="15.75" customHeight="1">
      <c r="A680" s="1259"/>
      <c r="B680" s="1259"/>
      <c r="C680" s="1259"/>
      <c r="D680" s="1259"/>
      <c r="E680" s="1259"/>
      <c r="F680" s="1259"/>
      <c r="G680" s="1259"/>
      <c r="H680" s="1259"/>
      <c r="I680" s="1259"/>
      <c r="J680" s="1259"/>
      <c r="K680" s="1259"/>
      <c r="L680" s="1259"/>
      <c r="M680" s="1259"/>
      <c r="N680" s="1259"/>
      <c r="O680" s="1259"/>
      <c r="P680" s="1259"/>
      <c r="Q680" s="1259"/>
      <c r="R680" s="1259"/>
      <c r="S680" s="1259"/>
      <c r="T680" s="1259"/>
      <c r="U680" s="1259"/>
      <c r="V680" s="1259"/>
      <c r="W680" s="1259"/>
      <c r="X680" s="1259"/>
      <c r="Y680" s="1259"/>
      <c r="Z680" s="1259"/>
    </row>
    <row r="681" spans="1:26" ht="15.75" customHeight="1">
      <c r="A681" s="1259"/>
      <c r="B681" s="1259"/>
      <c r="C681" s="1259"/>
      <c r="D681" s="1259"/>
      <c r="E681" s="1259"/>
      <c r="F681" s="1259"/>
      <c r="G681" s="1259"/>
      <c r="H681" s="1259"/>
      <c r="I681" s="1259"/>
      <c r="J681" s="1259"/>
      <c r="K681" s="1259"/>
      <c r="L681" s="1259"/>
      <c r="M681" s="1259"/>
      <c r="N681" s="1259"/>
      <c r="O681" s="1259"/>
      <c r="P681" s="1259"/>
      <c r="Q681" s="1259"/>
      <c r="R681" s="1259"/>
      <c r="S681" s="1259"/>
      <c r="T681" s="1259"/>
      <c r="U681" s="1259"/>
      <c r="V681" s="1259"/>
      <c r="W681" s="1259"/>
      <c r="X681" s="1259"/>
      <c r="Y681" s="1259"/>
      <c r="Z681" s="1259"/>
    </row>
    <row r="682" spans="1:26" ht="15.75" customHeight="1">
      <c r="A682" s="1259"/>
      <c r="B682" s="1259"/>
      <c r="C682" s="1259"/>
      <c r="D682" s="1259"/>
      <c r="E682" s="1259"/>
      <c r="F682" s="1259"/>
      <c r="G682" s="1259"/>
      <c r="H682" s="1259"/>
      <c r="I682" s="1259"/>
      <c r="J682" s="1259"/>
      <c r="K682" s="1259"/>
      <c r="L682" s="1259"/>
      <c r="M682" s="1259"/>
      <c r="N682" s="1259"/>
      <c r="O682" s="1259"/>
      <c r="P682" s="1259"/>
      <c r="Q682" s="1259"/>
      <c r="R682" s="1259"/>
      <c r="S682" s="1259"/>
      <c r="T682" s="1259"/>
      <c r="U682" s="1259"/>
      <c r="V682" s="1259"/>
      <c r="W682" s="1259"/>
      <c r="X682" s="1259"/>
      <c r="Y682" s="1259"/>
      <c r="Z682" s="1259"/>
    </row>
    <row r="683" spans="1:26" ht="15.75" customHeight="1">
      <c r="A683" s="1259"/>
      <c r="B683" s="1259"/>
      <c r="C683" s="1259"/>
      <c r="D683" s="1259"/>
      <c r="E683" s="1259"/>
      <c r="F683" s="1259"/>
      <c r="G683" s="1259"/>
      <c r="H683" s="1259"/>
      <c r="I683" s="1259"/>
      <c r="J683" s="1259"/>
      <c r="K683" s="1259"/>
      <c r="L683" s="1259"/>
      <c r="M683" s="1259"/>
      <c r="N683" s="1259"/>
      <c r="O683" s="1259"/>
      <c r="P683" s="1259"/>
      <c r="Q683" s="1259"/>
      <c r="R683" s="1259"/>
      <c r="S683" s="1259"/>
      <c r="T683" s="1259"/>
      <c r="U683" s="1259"/>
      <c r="V683" s="1259"/>
      <c r="W683" s="1259"/>
      <c r="X683" s="1259"/>
      <c r="Y683" s="1259"/>
      <c r="Z683" s="1259"/>
    </row>
    <row r="684" spans="1:26" ht="15.75" customHeight="1">
      <c r="A684" s="1259"/>
      <c r="B684" s="1259"/>
      <c r="C684" s="1259"/>
      <c r="D684" s="1259"/>
      <c r="E684" s="1259"/>
      <c r="F684" s="1259"/>
      <c r="G684" s="1259"/>
      <c r="H684" s="1259"/>
      <c r="I684" s="1259"/>
      <c r="J684" s="1259"/>
      <c r="K684" s="1259"/>
      <c r="L684" s="1259"/>
      <c r="M684" s="1259"/>
      <c r="N684" s="1259"/>
      <c r="O684" s="1259"/>
      <c r="P684" s="1259"/>
      <c r="Q684" s="1259"/>
      <c r="R684" s="1259"/>
      <c r="S684" s="1259"/>
      <c r="T684" s="1259"/>
      <c r="U684" s="1259"/>
      <c r="V684" s="1259"/>
      <c r="W684" s="1259"/>
      <c r="X684" s="1259"/>
      <c r="Y684" s="1259"/>
      <c r="Z684" s="1259"/>
    </row>
    <row r="685" spans="1:26" ht="15.75" customHeight="1">
      <c r="A685" s="1259"/>
      <c r="B685" s="1259"/>
      <c r="C685" s="1259"/>
      <c r="D685" s="1259"/>
      <c r="E685" s="1259"/>
      <c r="F685" s="1259"/>
      <c r="G685" s="1259"/>
      <c r="H685" s="1259"/>
      <c r="I685" s="1259"/>
      <c r="J685" s="1259"/>
      <c r="K685" s="1259"/>
      <c r="L685" s="1259"/>
      <c r="M685" s="1259"/>
      <c r="N685" s="1259"/>
      <c r="O685" s="1259"/>
      <c r="P685" s="1259"/>
      <c r="Q685" s="1259"/>
      <c r="R685" s="1259"/>
      <c r="S685" s="1259"/>
      <c r="T685" s="1259"/>
      <c r="U685" s="1259"/>
      <c r="V685" s="1259"/>
      <c r="W685" s="1259"/>
      <c r="X685" s="1259"/>
      <c r="Y685" s="1259"/>
      <c r="Z685" s="1259"/>
    </row>
    <row r="686" spans="1:26" ht="15.75" customHeight="1">
      <c r="A686" s="1259"/>
      <c r="B686" s="1259"/>
      <c r="C686" s="1259"/>
      <c r="D686" s="1259"/>
      <c r="E686" s="1259"/>
      <c r="F686" s="1259"/>
      <c r="G686" s="1259"/>
      <c r="H686" s="1259"/>
      <c r="I686" s="1259"/>
      <c r="J686" s="1259"/>
      <c r="K686" s="1259"/>
      <c r="L686" s="1259"/>
      <c r="M686" s="1259"/>
      <c r="N686" s="1259"/>
      <c r="O686" s="1259"/>
      <c r="P686" s="1259"/>
      <c r="Q686" s="1259"/>
      <c r="R686" s="1259"/>
      <c r="S686" s="1259"/>
      <c r="T686" s="1259"/>
      <c r="U686" s="1259"/>
      <c r="V686" s="1259"/>
      <c r="W686" s="1259"/>
      <c r="X686" s="1259"/>
      <c r="Y686" s="1259"/>
      <c r="Z686" s="1259"/>
    </row>
    <row r="687" spans="1:26" ht="15.75" customHeight="1">
      <c r="A687" s="1259"/>
      <c r="B687" s="1259"/>
      <c r="C687" s="1259"/>
      <c r="D687" s="1259"/>
      <c r="E687" s="1259"/>
      <c r="F687" s="1259"/>
      <c r="G687" s="1259"/>
      <c r="H687" s="1259"/>
      <c r="I687" s="1259"/>
      <c r="J687" s="1259"/>
      <c r="K687" s="1259"/>
      <c r="L687" s="1259"/>
      <c r="M687" s="1259"/>
      <c r="N687" s="1259"/>
      <c r="O687" s="1259"/>
      <c r="P687" s="1259"/>
      <c r="Q687" s="1259"/>
      <c r="R687" s="1259"/>
      <c r="S687" s="1259"/>
      <c r="T687" s="1259"/>
      <c r="U687" s="1259"/>
      <c r="V687" s="1259"/>
      <c r="W687" s="1259"/>
      <c r="X687" s="1259"/>
      <c r="Y687" s="1259"/>
      <c r="Z687" s="1259"/>
    </row>
    <row r="688" spans="1:26" ht="15.75" customHeight="1">
      <c r="A688" s="1259"/>
      <c r="B688" s="1259"/>
      <c r="C688" s="1259"/>
      <c r="D688" s="1259"/>
      <c r="E688" s="1259"/>
      <c r="F688" s="1259"/>
      <c r="G688" s="1259"/>
      <c r="H688" s="1259"/>
      <c r="I688" s="1259"/>
      <c r="J688" s="1259"/>
      <c r="K688" s="1259"/>
      <c r="L688" s="1259"/>
      <c r="M688" s="1259"/>
      <c r="N688" s="1259"/>
      <c r="O688" s="1259"/>
      <c r="P688" s="1259"/>
      <c r="Q688" s="1259"/>
      <c r="R688" s="1259"/>
      <c r="S688" s="1259"/>
      <c r="T688" s="1259"/>
      <c r="U688" s="1259"/>
      <c r="V688" s="1259"/>
      <c r="W688" s="1259"/>
      <c r="X688" s="1259"/>
      <c r="Y688" s="1259"/>
      <c r="Z688" s="1259"/>
    </row>
    <row r="689" spans="1:26" ht="15.75" customHeight="1">
      <c r="A689" s="1259"/>
      <c r="B689" s="1259"/>
      <c r="C689" s="1259"/>
      <c r="D689" s="1259"/>
      <c r="E689" s="1259"/>
      <c r="F689" s="1259"/>
      <c r="G689" s="1259"/>
      <c r="H689" s="1259"/>
      <c r="I689" s="1259"/>
      <c r="J689" s="1259"/>
      <c r="K689" s="1259"/>
      <c r="L689" s="1259"/>
      <c r="M689" s="1259"/>
      <c r="N689" s="1259"/>
      <c r="O689" s="1259"/>
      <c r="P689" s="1259"/>
      <c r="Q689" s="1259"/>
      <c r="R689" s="1259"/>
      <c r="S689" s="1259"/>
      <c r="T689" s="1259"/>
      <c r="U689" s="1259"/>
      <c r="V689" s="1259"/>
      <c r="W689" s="1259"/>
      <c r="X689" s="1259"/>
      <c r="Y689" s="1259"/>
      <c r="Z689" s="1259"/>
    </row>
    <row r="690" spans="1:26" ht="15.75" customHeight="1">
      <c r="A690" s="1259"/>
      <c r="B690" s="1259"/>
      <c r="C690" s="1259"/>
      <c r="D690" s="1259"/>
      <c r="E690" s="1259"/>
      <c r="F690" s="1259"/>
      <c r="G690" s="1259"/>
      <c r="H690" s="1259"/>
      <c r="I690" s="1259"/>
      <c r="J690" s="1259"/>
      <c r="K690" s="1259"/>
      <c r="L690" s="1259"/>
      <c r="M690" s="1259"/>
      <c r="N690" s="1259"/>
      <c r="O690" s="1259"/>
      <c r="P690" s="1259"/>
      <c r="Q690" s="1259"/>
      <c r="R690" s="1259"/>
      <c r="S690" s="1259"/>
      <c r="T690" s="1259"/>
      <c r="U690" s="1259"/>
      <c r="V690" s="1259"/>
      <c r="W690" s="1259"/>
      <c r="X690" s="1259"/>
      <c r="Y690" s="1259"/>
      <c r="Z690" s="1259"/>
    </row>
    <row r="691" spans="1:26" ht="15.75" customHeight="1">
      <c r="A691" s="1259"/>
      <c r="B691" s="1259"/>
      <c r="C691" s="1259"/>
      <c r="D691" s="1259"/>
      <c r="E691" s="1259"/>
      <c r="F691" s="1259"/>
      <c r="G691" s="1259"/>
      <c r="H691" s="1259"/>
      <c r="I691" s="1259"/>
      <c r="J691" s="1259"/>
      <c r="K691" s="1259"/>
      <c r="L691" s="1259"/>
      <c r="M691" s="1259"/>
      <c r="N691" s="1259"/>
      <c r="O691" s="1259"/>
      <c r="P691" s="1259"/>
      <c r="Q691" s="1259"/>
      <c r="R691" s="1259"/>
      <c r="S691" s="1259"/>
      <c r="T691" s="1259"/>
      <c r="U691" s="1259"/>
      <c r="V691" s="1259"/>
      <c r="W691" s="1259"/>
      <c r="X691" s="1259"/>
      <c r="Y691" s="1259"/>
      <c r="Z691" s="1259"/>
    </row>
    <row r="692" spans="1:26" ht="15.75" customHeight="1">
      <c r="A692" s="1259"/>
      <c r="B692" s="1259"/>
      <c r="C692" s="1259"/>
      <c r="D692" s="1259"/>
      <c r="E692" s="1259"/>
      <c r="F692" s="1259"/>
      <c r="G692" s="1259"/>
      <c r="H692" s="1259"/>
      <c r="I692" s="1259"/>
      <c r="J692" s="1259"/>
      <c r="K692" s="1259"/>
      <c r="L692" s="1259"/>
      <c r="M692" s="1259"/>
      <c r="N692" s="1259"/>
      <c r="O692" s="1259"/>
      <c r="P692" s="1259"/>
      <c r="Q692" s="1259"/>
      <c r="R692" s="1259"/>
      <c r="S692" s="1259"/>
      <c r="T692" s="1259"/>
      <c r="U692" s="1259"/>
      <c r="V692" s="1259"/>
      <c r="W692" s="1259"/>
      <c r="X692" s="1259"/>
      <c r="Y692" s="1259"/>
      <c r="Z692" s="1259"/>
    </row>
    <row r="693" spans="1:26" ht="15.75" customHeight="1">
      <c r="A693" s="1259"/>
      <c r="B693" s="1259"/>
      <c r="C693" s="1259"/>
      <c r="D693" s="1259"/>
      <c r="E693" s="1259"/>
      <c r="F693" s="1259"/>
      <c r="G693" s="1259"/>
      <c r="H693" s="1259"/>
      <c r="I693" s="1259"/>
      <c r="J693" s="1259"/>
      <c r="K693" s="1259"/>
      <c r="L693" s="1259"/>
      <c r="M693" s="1259"/>
      <c r="N693" s="1259"/>
      <c r="O693" s="1259"/>
      <c r="P693" s="1259"/>
      <c r="Q693" s="1259"/>
      <c r="R693" s="1259"/>
      <c r="S693" s="1259"/>
      <c r="T693" s="1259"/>
      <c r="U693" s="1259"/>
      <c r="V693" s="1259"/>
      <c r="W693" s="1259"/>
      <c r="X693" s="1259"/>
      <c r="Y693" s="1259"/>
      <c r="Z693" s="1259"/>
    </row>
    <row r="694" spans="1:26" ht="15.75" customHeight="1">
      <c r="A694" s="1259"/>
      <c r="B694" s="1259"/>
      <c r="C694" s="1259"/>
      <c r="D694" s="1259"/>
      <c r="E694" s="1259"/>
      <c r="F694" s="1259"/>
      <c r="G694" s="1259"/>
      <c r="H694" s="1259"/>
      <c r="I694" s="1259"/>
      <c r="J694" s="1259"/>
      <c r="K694" s="1259"/>
      <c r="L694" s="1259"/>
      <c r="M694" s="1259"/>
      <c r="N694" s="1259"/>
      <c r="O694" s="1259"/>
      <c r="P694" s="1259"/>
      <c r="Q694" s="1259"/>
      <c r="R694" s="1259"/>
      <c r="S694" s="1259"/>
      <c r="T694" s="1259"/>
      <c r="U694" s="1259"/>
      <c r="V694" s="1259"/>
      <c r="W694" s="1259"/>
      <c r="X694" s="1259"/>
      <c r="Y694" s="1259"/>
      <c r="Z694" s="1259"/>
    </row>
    <row r="695" spans="1:26" ht="15.75" customHeight="1">
      <c r="A695" s="1259"/>
      <c r="B695" s="1259"/>
      <c r="C695" s="1259"/>
      <c r="D695" s="1259"/>
      <c r="E695" s="1259"/>
      <c r="F695" s="1259"/>
      <c r="G695" s="1259"/>
      <c r="H695" s="1259"/>
      <c r="I695" s="1259"/>
      <c r="J695" s="1259"/>
      <c r="K695" s="1259"/>
      <c r="L695" s="1259"/>
      <c r="M695" s="1259"/>
      <c r="N695" s="1259"/>
      <c r="O695" s="1259"/>
      <c r="P695" s="1259"/>
      <c r="Q695" s="1259"/>
      <c r="R695" s="1259"/>
      <c r="S695" s="1259"/>
      <c r="T695" s="1259"/>
      <c r="U695" s="1259"/>
      <c r="V695" s="1259"/>
      <c r="W695" s="1259"/>
      <c r="X695" s="1259"/>
      <c r="Y695" s="1259"/>
      <c r="Z695" s="1259"/>
    </row>
    <row r="696" spans="1:26" ht="15.75" customHeight="1">
      <c r="A696" s="1259"/>
      <c r="B696" s="1259"/>
      <c r="C696" s="1259"/>
      <c r="D696" s="1259"/>
      <c r="E696" s="1259"/>
      <c r="F696" s="1259"/>
      <c r="G696" s="1259"/>
      <c r="H696" s="1259"/>
      <c r="I696" s="1259"/>
      <c r="J696" s="1259"/>
      <c r="K696" s="1259"/>
      <c r="L696" s="1259"/>
      <c r="M696" s="1259"/>
      <c r="N696" s="1259"/>
      <c r="O696" s="1259"/>
      <c r="P696" s="1259"/>
      <c r="Q696" s="1259"/>
      <c r="R696" s="1259"/>
      <c r="S696" s="1259"/>
      <c r="T696" s="1259"/>
      <c r="U696" s="1259"/>
      <c r="V696" s="1259"/>
      <c r="W696" s="1259"/>
      <c r="X696" s="1259"/>
      <c r="Y696" s="1259"/>
      <c r="Z696" s="1259"/>
    </row>
    <row r="697" spans="1:26" ht="15.75" customHeight="1">
      <c r="A697" s="1259"/>
      <c r="B697" s="1259"/>
      <c r="C697" s="1259"/>
      <c r="D697" s="1259"/>
      <c r="E697" s="1259"/>
      <c r="F697" s="1259"/>
      <c r="G697" s="1259"/>
      <c r="H697" s="1259"/>
      <c r="I697" s="1259"/>
      <c r="J697" s="1259"/>
      <c r="K697" s="1259"/>
      <c r="L697" s="1259"/>
      <c r="M697" s="1259"/>
      <c r="N697" s="1259"/>
      <c r="O697" s="1259"/>
      <c r="P697" s="1259"/>
      <c r="Q697" s="1259"/>
      <c r="R697" s="1259"/>
      <c r="S697" s="1259"/>
      <c r="T697" s="1259"/>
      <c r="U697" s="1259"/>
      <c r="V697" s="1259"/>
      <c r="W697" s="1259"/>
      <c r="X697" s="1259"/>
      <c r="Y697" s="1259"/>
      <c r="Z697" s="1259"/>
    </row>
    <row r="698" spans="1:26" ht="15.75" customHeight="1">
      <c r="A698" s="1259"/>
      <c r="B698" s="1259"/>
      <c r="C698" s="1259"/>
      <c r="D698" s="1259"/>
      <c r="E698" s="1259"/>
      <c r="F698" s="1259"/>
      <c r="G698" s="1259"/>
      <c r="H698" s="1259"/>
      <c r="I698" s="1259"/>
      <c r="J698" s="1259"/>
      <c r="K698" s="1259"/>
      <c r="L698" s="1259"/>
      <c r="M698" s="1259"/>
      <c r="N698" s="1259"/>
      <c r="O698" s="1259"/>
      <c r="P698" s="1259"/>
      <c r="Q698" s="1259"/>
      <c r="R698" s="1259"/>
      <c r="S698" s="1259"/>
      <c r="T698" s="1259"/>
      <c r="U698" s="1259"/>
      <c r="V698" s="1259"/>
      <c r="W698" s="1259"/>
      <c r="X698" s="1259"/>
      <c r="Y698" s="1259"/>
      <c r="Z698" s="1259"/>
    </row>
    <row r="699" spans="1:26" ht="15.75" customHeight="1">
      <c r="A699" s="1259"/>
      <c r="B699" s="1259"/>
      <c r="C699" s="1259"/>
      <c r="D699" s="1259"/>
      <c r="E699" s="1259"/>
      <c r="F699" s="1259"/>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row>
    <row r="700" spans="1:26" ht="15.75" customHeight="1">
      <c r="A700" s="1259"/>
      <c r="B700" s="1259"/>
      <c r="C700" s="1259"/>
      <c r="D700" s="1259"/>
      <c r="E700" s="1259"/>
      <c r="F700" s="1259"/>
      <c r="G700" s="1259"/>
      <c r="H700" s="1259"/>
      <c r="I700" s="1259"/>
      <c r="J700" s="1259"/>
      <c r="K700" s="1259"/>
      <c r="L700" s="1259"/>
      <c r="M700" s="1259"/>
      <c r="N700" s="1259"/>
      <c r="O700" s="1259"/>
      <c r="P700" s="1259"/>
      <c r="Q700" s="1259"/>
      <c r="R700" s="1259"/>
      <c r="S700" s="1259"/>
      <c r="T700" s="1259"/>
      <c r="U700" s="1259"/>
      <c r="V700" s="1259"/>
      <c r="W700" s="1259"/>
      <c r="X700" s="1259"/>
      <c r="Y700" s="1259"/>
      <c r="Z700" s="1259"/>
    </row>
    <row r="701" spans="1:26" ht="15.75" customHeight="1">
      <c r="A701" s="1259"/>
      <c r="B701" s="1259"/>
      <c r="C701" s="1259"/>
      <c r="D701" s="1259"/>
      <c r="E701" s="1259"/>
      <c r="F701" s="1259"/>
      <c r="G701" s="1259"/>
      <c r="H701" s="1259"/>
      <c r="I701" s="1259"/>
      <c r="J701" s="1259"/>
      <c r="K701" s="1259"/>
      <c r="L701" s="1259"/>
      <c r="M701" s="1259"/>
      <c r="N701" s="1259"/>
      <c r="O701" s="1259"/>
      <c r="P701" s="1259"/>
      <c r="Q701" s="1259"/>
      <c r="R701" s="1259"/>
      <c r="S701" s="1259"/>
      <c r="T701" s="1259"/>
      <c r="U701" s="1259"/>
      <c r="V701" s="1259"/>
      <c r="W701" s="1259"/>
      <c r="X701" s="1259"/>
      <c r="Y701" s="1259"/>
      <c r="Z701" s="1259"/>
    </row>
    <row r="702" spans="1:26" ht="15.75" customHeight="1">
      <c r="A702" s="1259"/>
      <c r="B702" s="1259"/>
      <c r="C702" s="1259"/>
      <c r="D702" s="1259"/>
      <c r="E702" s="1259"/>
      <c r="F702" s="1259"/>
      <c r="G702" s="1259"/>
      <c r="H702" s="1259"/>
      <c r="I702" s="1259"/>
      <c r="J702" s="1259"/>
      <c r="K702" s="1259"/>
      <c r="L702" s="1259"/>
      <c r="M702" s="1259"/>
      <c r="N702" s="1259"/>
      <c r="O702" s="1259"/>
      <c r="P702" s="1259"/>
      <c r="Q702" s="1259"/>
      <c r="R702" s="1259"/>
      <c r="S702" s="1259"/>
      <c r="T702" s="1259"/>
      <c r="U702" s="1259"/>
      <c r="V702" s="1259"/>
      <c r="W702" s="1259"/>
      <c r="X702" s="1259"/>
      <c r="Y702" s="1259"/>
      <c r="Z702" s="1259"/>
    </row>
    <row r="703" spans="1:26" ht="15.75" customHeight="1">
      <c r="A703" s="1259"/>
      <c r="B703" s="1259"/>
      <c r="C703" s="1259"/>
      <c r="D703" s="1259"/>
      <c r="E703" s="1259"/>
      <c r="F703" s="1259"/>
      <c r="G703" s="1259"/>
      <c r="H703" s="1259"/>
      <c r="I703" s="1259"/>
      <c r="J703" s="1259"/>
      <c r="K703" s="1259"/>
      <c r="L703" s="1259"/>
      <c r="M703" s="1259"/>
      <c r="N703" s="1259"/>
      <c r="O703" s="1259"/>
      <c r="P703" s="1259"/>
      <c r="Q703" s="1259"/>
      <c r="R703" s="1259"/>
      <c r="S703" s="1259"/>
      <c r="T703" s="1259"/>
      <c r="U703" s="1259"/>
      <c r="V703" s="1259"/>
      <c r="W703" s="1259"/>
      <c r="X703" s="1259"/>
      <c r="Y703" s="1259"/>
      <c r="Z703" s="1259"/>
    </row>
    <row r="704" spans="1:26" ht="15.75" customHeight="1">
      <c r="A704" s="1259"/>
      <c r="B704" s="1259"/>
      <c r="C704" s="1259"/>
      <c r="D704" s="1259"/>
      <c r="E704" s="1259"/>
      <c r="F704" s="1259"/>
      <c r="G704" s="1259"/>
      <c r="H704" s="1259"/>
      <c r="I704" s="1259"/>
      <c r="J704" s="1259"/>
      <c r="K704" s="1259"/>
      <c r="L704" s="1259"/>
      <c r="M704" s="1259"/>
      <c r="N704" s="1259"/>
      <c r="O704" s="1259"/>
      <c r="P704" s="1259"/>
      <c r="Q704" s="1259"/>
      <c r="R704" s="1259"/>
      <c r="S704" s="1259"/>
      <c r="T704" s="1259"/>
      <c r="U704" s="1259"/>
      <c r="V704" s="1259"/>
      <c r="W704" s="1259"/>
      <c r="X704" s="1259"/>
      <c r="Y704" s="1259"/>
      <c r="Z704" s="1259"/>
    </row>
    <row r="705" spans="1:26" ht="15.75" customHeight="1">
      <c r="A705" s="1259"/>
      <c r="B705" s="1259"/>
      <c r="C705" s="1259"/>
      <c r="D705" s="1259"/>
      <c r="E705" s="1259"/>
      <c r="F705" s="1259"/>
      <c r="G705" s="1259"/>
      <c r="H705" s="1259"/>
      <c r="I705" s="1259"/>
      <c r="J705" s="1259"/>
      <c r="K705" s="1259"/>
      <c r="L705" s="1259"/>
      <c r="M705" s="1259"/>
      <c r="N705" s="1259"/>
      <c r="O705" s="1259"/>
      <c r="P705" s="1259"/>
      <c r="Q705" s="1259"/>
      <c r="R705" s="1259"/>
      <c r="S705" s="1259"/>
      <c r="T705" s="1259"/>
      <c r="U705" s="1259"/>
      <c r="V705" s="1259"/>
      <c r="W705" s="1259"/>
      <c r="X705" s="1259"/>
      <c r="Y705" s="1259"/>
      <c r="Z705" s="1259"/>
    </row>
    <row r="706" spans="1:26" ht="15.75" customHeight="1">
      <c r="A706" s="1259"/>
      <c r="B706" s="1259"/>
      <c r="C706" s="1259"/>
      <c r="D706" s="1259"/>
      <c r="E706" s="1259"/>
      <c r="F706" s="1259"/>
      <c r="G706" s="1259"/>
      <c r="H706" s="1259"/>
      <c r="I706" s="1259"/>
      <c r="J706" s="1259"/>
      <c r="K706" s="1259"/>
      <c r="L706" s="1259"/>
      <c r="M706" s="1259"/>
      <c r="N706" s="1259"/>
      <c r="O706" s="1259"/>
      <c r="P706" s="1259"/>
      <c r="Q706" s="1259"/>
      <c r="R706" s="1259"/>
      <c r="S706" s="1259"/>
      <c r="T706" s="1259"/>
      <c r="U706" s="1259"/>
      <c r="V706" s="1259"/>
      <c r="W706" s="1259"/>
      <c r="X706" s="1259"/>
      <c r="Y706" s="1259"/>
      <c r="Z706" s="1259"/>
    </row>
    <row r="707" spans="1:26" ht="15.75" customHeight="1">
      <c r="A707" s="1259"/>
      <c r="B707" s="1259"/>
      <c r="C707" s="1259"/>
      <c r="D707" s="1259"/>
      <c r="E707" s="1259"/>
      <c r="F707" s="1259"/>
      <c r="G707" s="1259"/>
      <c r="H707" s="1259"/>
      <c r="I707" s="1259"/>
      <c r="J707" s="1259"/>
      <c r="K707" s="1259"/>
      <c r="L707" s="1259"/>
      <c r="M707" s="1259"/>
      <c r="N707" s="1259"/>
      <c r="O707" s="1259"/>
      <c r="P707" s="1259"/>
      <c r="Q707" s="1259"/>
      <c r="R707" s="1259"/>
      <c r="S707" s="1259"/>
      <c r="T707" s="1259"/>
      <c r="U707" s="1259"/>
      <c r="V707" s="1259"/>
      <c r="W707" s="1259"/>
      <c r="X707" s="1259"/>
      <c r="Y707" s="1259"/>
      <c r="Z707" s="1259"/>
    </row>
    <row r="708" spans="1:26" ht="15.75" customHeight="1">
      <c r="A708" s="1259"/>
      <c r="B708" s="1259"/>
      <c r="C708" s="1259"/>
      <c r="D708" s="1259"/>
      <c r="E708" s="1259"/>
      <c r="F708" s="1259"/>
      <c r="G708" s="1259"/>
      <c r="H708" s="1259"/>
      <c r="I708" s="1259"/>
      <c r="J708" s="1259"/>
      <c r="K708" s="1259"/>
      <c r="L708" s="1259"/>
      <c r="M708" s="1259"/>
      <c r="N708" s="1259"/>
      <c r="O708" s="1259"/>
      <c r="P708" s="1259"/>
      <c r="Q708" s="1259"/>
      <c r="R708" s="1259"/>
      <c r="S708" s="1259"/>
      <c r="T708" s="1259"/>
      <c r="U708" s="1259"/>
      <c r="V708" s="1259"/>
      <c r="W708" s="1259"/>
      <c r="X708" s="1259"/>
      <c r="Y708" s="1259"/>
      <c r="Z708" s="1259"/>
    </row>
    <row r="709" spans="1:26" ht="15.75" customHeight="1">
      <c r="A709" s="1259"/>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row>
    <row r="710" spans="1:26" ht="15.7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row>
    <row r="711" spans="1:26" ht="15.7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row>
    <row r="712" spans="1:26" ht="15.75" customHeight="1">
      <c r="A712" s="1259"/>
      <c r="B712" s="1259"/>
      <c r="C712" s="1259"/>
      <c r="D712" s="1259"/>
      <c r="E712" s="1259"/>
      <c r="F712" s="1259"/>
      <c r="G712" s="1259"/>
      <c r="H712" s="1259"/>
      <c r="I712" s="1259"/>
      <c r="J712" s="1259"/>
      <c r="K712" s="1259"/>
      <c r="L712" s="1259"/>
      <c r="M712" s="1259"/>
      <c r="N712" s="1259"/>
      <c r="O712" s="1259"/>
      <c r="P712" s="1259"/>
      <c r="Q712" s="1259"/>
      <c r="R712" s="1259"/>
      <c r="S712" s="1259"/>
      <c r="T712" s="1259"/>
      <c r="U712" s="1259"/>
      <c r="V712" s="1259"/>
      <c r="W712" s="1259"/>
      <c r="X712" s="1259"/>
      <c r="Y712" s="1259"/>
      <c r="Z712" s="1259"/>
    </row>
    <row r="713" spans="1:26" ht="15.75" customHeight="1">
      <c r="A713" s="1259"/>
      <c r="B713" s="1259"/>
      <c r="C713" s="1259"/>
      <c r="D713" s="1259"/>
      <c r="E713" s="1259"/>
      <c r="F713" s="1259"/>
      <c r="G713" s="1259"/>
      <c r="H713" s="1259"/>
      <c r="I713" s="1259"/>
      <c r="J713" s="1259"/>
      <c r="K713" s="1259"/>
      <c r="L713" s="1259"/>
      <c r="M713" s="1259"/>
      <c r="N713" s="1259"/>
      <c r="O713" s="1259"/>
      <c r="P713" s="1259"/>
      <c r="Q713" s="1259"/>
      <c r="R713" s="1259"/>
      <c r="S713" s="1259"/>
      <c r="T713" s="1259"/>
      <c r="U713" s="1259"/>
      <c r="V713" s="1259"/>
      <c r="W713" s="1259"/>
      <c r="X713" s="1259"/>
      <c r="Y713" s="1259"/>
      <c r="Z713" s="1259"/>
    </row>
    <row r="714" spans="1:26" ht="15.75" customHeight="1">
      <c r="A714" s="1259"/>
      <c r="B714" s="1259"/>
      <c r="C714" s="1259"/>
      <c r="D714" s="1259"/>
      <c r="E714" s="1259"/>
      <c r="F714" s="1259"/>
      <c r="G714" s="1259"/>
      <c r="H714" s="1259"/>
      <c r="I714" s="1259"/>
      <c r="J714" s="1259"/>
      <c r="K714" s="1259"/>
      <c r="L714" s="1259"/>
      <c r="M714" s="1259"/>
      <c r="N714" s="1259"/>
      <c r="O714" s="1259"/>
      <c r="P714" s="1259"/>
      <c r="Q714" s="1259"/>
      <c r="R714" s="1259"/>
      <c r="S714" s="1259"/>
      <c r="T714" s="1259"/>
      <c r="U714" s="1259"/>
      <c r="V714" s="1259"/>
      <c r="W714" s="1259"/>
      <c r="X714" s="1259"/>
      <c r="Y714" s="1259"/>
      <c r="Z714" s="1259"/>
    </row>
    <row r="715" spans="1:26" ht="15.75" customHeight="1">
      <c r="A715" s="1259"/>
      <c r="B715" s="1259"/>
      <c r="C715" s="1259"/>
      <c r="D715" s="1259"/>
      <c r="E715" s="1259"/>
      <c r="F715" s="1259"/>
      <c r="G715" s="1259"/>
      <c r="H715" s="1259"/>
      <c r="I715" s="1259"/>
      <c r="J715" s="1259"/>
      <c r="K715" s="1259"/>
      <c r="L715" s="1259"/>
      <c r="M715" s="1259"/>
      <c r="N715" s="1259"/>
      <c r="O715" s="1259"/>
      <c r="P715" s="1259"/>
      <c r="Q715" s="1259"/>
      <c r="R715" s="1259"/>
      <c r="S715" s="1259"/>
      <c r="T715" s="1259"/>
      <c r="U715" s="1259"/>
      <c r="V715" s="1259"/>
      <c r="W715" s="1259"/>
      <c r="X715" s="1259"/>
      <c r="Y715" s="1259"/>
      <c r="Z715" s="1259"/>
    </row>
    <row r="716" spans="1:26" ht="15.75" customHeight="1">
      <c r="A716" s="1259"/>
      <c r="B716" s="1259"/>
      <c r="C716" s="1259"/>
      <c r="D716" s="1259"/>
      <c r="E716" s="1259"/>
      <c r="F716" s="1259"/>
      <c r="G716" s="1259"/>
      <c r="H716" s="1259"/>
      <c r="I716" s="1259"/>
      <c r="J716" s="1259"/>
      <c r="K716" s="1259"/>
      <c r="L716" s="1259"/>
      <c r="M716" s="1259"/>
      <c r="N716" s="1259"/>
      <c r="O716" s="1259"/>
      <c r="P716" s="1259"/>
      <c r="Q716" s="1259"/>
      <c r="R716" s="1259"/>
      <c r="S716" s="1259"/>
      <c r="T716" s="1259"/>
      <c r="U716" s="1259"/>
      <c r="V716" s="1259"/>
      <c r="W716" s="1259"/>
      <c r="X716" s="1259"/>
      <c r="Y716" s="1259"/>
      <c r="Z716" s="1259"/>
    </row>
    <row r="717" spans="1:26" ht="15.75" customHeight="1">
      <c r="A717" s="1259"/>
      <c r="B717" s="1259"/>
      <c r="C717" s="1259"/>
      <c r="D717" s="1259"/>
      <c r="E717" s="1259"/>
      <c r="F717" s="1259"/>
      <c r="G717" s="1259"/>
      <c r="H717" s="1259"/>
      <c r="I717" s="1259"/>
      <c r="J717" s="1259"/>
      <c r="K717" s="1259"/>
      <c r="L717" s="1259"/>
      <c r="M717" s="1259"/>
      <c r="N717" s="1259"/>
      <c r="O717" s="1259"/>
      <c r="P717" s="1259"/>
      <c r="Q717" s="1259"/>
      <c r="R717" s="1259"/>
      <c r="S717" s="1259"/>
      <c r="T717" s="1259"/>
      <c r="U717" s="1259"/>
      <c r="V717" s="1259"/>
      <c r="W717" s="1259"/>
      <c r="X717" s="1259"/>
      <c r="Y717" s="1259"/>
      <c r="Z717" s="1259"/>
    </row>
    <row r="718" spans="1:26" ht="15.75" customHeight="1">
      <c r="A718" s="1259"/>
      <c r="B718" s="1259"/>
      <c r="C718" s="1259"/>
      <c r="D718" s="1259"/>
      <c r="E718" s="1259"/>
      <c r="F718" s="1259"/>
      <c r="G718" s="1259"/>
      <c r="H718" s="1259"/>
      <c r="I718" s="1259"/>
      <c r="J718" s="1259"/>
      <c r="K718" s="1259"/>
      <c r="L718" s="1259"/>
      <c r="M718" s="1259"/>
      <c r="N718" s="1259"/>
      <c r="O718" s="1259"/>
      <c r="P718" s="1259"/>
      <c r="Q718" s="1259"/>
      <c r="R718" s="1259"/>
      <c r="S718" s="1259"/>
      <c r="T718" s="1259"/>
      <c r="U718" s="1259"/>
      <c r="V718" s="1259"/>
      <c r="W718" s="1259"/>
      <c r="X718" s="1259"/>
      <c r="Y718" s="1259"/>
      <c r="Z718" s="1259"/>
    </row>
    <row r="719" spans="1:26" ht="15.75" customHeight="1">
      <c r="A719" s="1259"/>
      <c r="B719" s="1259"/>
      <c r="C719" s="1259"/>
      <c r="D719" s="1259"/>
      <c r="E719" s="1259"/>
      <c r="F719" s="1259"/>
      <c r="G719" s="1259"/>
      <c r="H719" s="1259"/>
      <c r="I719" s="1259"/>
      <c r="J719" s="1259"/>
      <c r="K719" s="1259"/>
      <c r="L719" s="1259"/>
      <c r="M719" s="1259"/>
      <c r="N719" s="1259"/>
      <c r="O719" s="1259"/>
      <c r="P719" s="1259"/>
      <c r="Q719" s="1259"/>
      <c r="R719" s="1259"/>
      <c r="S719" s="1259"/>
      <c r="T719" s="1259"/>
      <c r="U719" s="1259"/>
      <c r="V719" s="1259"/>
      <c r="W719" s="1259"/>
      <c r="X719" s="1259"/>
      <c r="Y719" s="1259"/>
      <c r="Z719" s="1259"/>
    </row>
    <row r="720" spans="1:26" ht="15.75" customHeight="1">
      <c r="A720" s="1259"/>
      <c r="B720" s="1259"/>
      <c r="C720" s="1259"/>
      <c r="D720" s="1259"/>
      <c r="E720" s="1259"/>
      <c r="F720" s="1259"/>
      <c r="G720" s="1259"/>
      <c r="H720" s="1259"/>
      <c r="I720" s="1259"/>
      <c r="J720" s="1259"/>
      <c r="K720" s="1259"/>
      <c r="L720" s="1259"/>
      <c r="M720" s="1259"/>
      <c r="N720" s="1259"/>
      <c r="O720" s="1259"/>
      <c r="P720" s="1259"/>
      <c r="Q720" s="1259"/>
      <c r="R720" s="1259"/>
      <c r="S720" s="1259"/>
      <c r="T720" s="1259"/>
      <c r="U720" s="1259"/>
      <c r="V720" s="1259"/>
      <c r="W720" s="1259"/>
      <c r="X720" s="1259"/>
      <c r="Y720" s="1259"/>
      <c r="Z720" s="1259"/>
    </row>
    <row r="721" spans="1:26" ht="15.75" customHeight="1">
      <c r="A721" s="1259"/>
      <c r="B721" s="1259"/>
      <c r="C721" s="1259"/>
      <c r="D721" s="1259"/>
      <c r="E721" s="1259"/>
      <c r="F721" s="1259"/>
      <c r="G721" s="1259"/>
      <c r="H721" s="1259"/>
      <c r="I721" s="1259"/>
      <c r="J721" s="1259"/>
      <c r="K721" s="1259"/>
      <c r="L721" s="1259"/>
      <c r="M721" s="1259"/>
      <c r="N721" s="1259"/>
      <c r="O721" s="1259"/>
      <c r="P721" s="1259"/>
      <c r="Q721" s="1259"/>
      <c r="R721" s="1259"/>
      <c r="S721" s="1259"/>
      <c r="T721" s="1259"/>
      <c r="U721" s="1259"/>
      <c r="V721" s="1259"/>
      <c r="W721" s="1259"/>
      <c r="X721" s="1259"/>
      <c r="Y721" s="1259"/>
      <c r="Z721" s="1259"/>
    </row>
    <row r="722" spans="1:26" ht="15.75" customHeight="1">
      <c r="A722" s="1259"/>
      <c r="B722" s="1259"/>
      <c r="C722" s="1259"/>
      <c r="D722" s="1259"/>
      <c r="E722" s="1259"/>
      <c r="F722" s="1259"/>
      <c r="G722" s="1259"/>
      <c r="H722" s="1259"/>
      <c r="I722" s="1259"/>
      <c r="J722" s="1259"/>
      <c r="K722" s="1259"/>
      <c r="L722" s="1259"/>
      <c r="M722" s="1259"/>
      <c r="N722" s="1259"/>
      <c r="O722" s="1259"/>
      <c r="P722" s="1259"/>
      <c r="Q722" s="1259"/>
      <c r="R722" s="1259"/>
      <c r="S722" s="1259"/>
      <c r="T722" s="1259"/>
      <c r="U722" s="1259"/>
      <c r="V722" s="1259"/>
      <c r="W722" s="1259"/>
      <c r="X722" s="1259"/>
      <c r="Y722" s="1259"/>
      <c r="Z722" s="1259"/>
    </row>
    <row r="723" spans="1:26" ht="15.75" customHeight="1">
      <c r="A723" s="1259"/>
      <c r="B723" s="1259"/>
      <c r="C723" s="1259"/>
      <c r="D723" s="1259"/>
      <c r="E723" s="1259"/>
      <c r="F723" s="1259"/>
      <c r="G723" s="1259"/>
      <c r="H723" s="1259"/>
      <c r="I723" s="1259"/>
      <c r="J723" s="1259"/>
      <c r="K723" s="1259"/>
      <c r="L723" s="1259"/>
      <c r="M723" s="1259"/>
      <c r="N723" s="1259"/>
      <c r="O723" s="1259"/>
      <c r="P723" s="1259"/>
      <c r="Q723" s="1259"/>
      <c r="R723" s="1259"/>
      <c r="S723" s="1259"/>
      <c r="T723" s="1259"/>
      <c r="U723" s="1259"/>
      <c r="V723" s="1259"/>
      <c r="W723" s="1259"/>
      <c r="X723" s="1259"/>
      <c r="Y723" s="1259"/>
      <c r="Z723" s="1259"/>
    </row>
    <row r="724" spans="1:26" ht="15.75" customHeight="1">
      <c r="A724" s="1259"/>
      <c r="B724" s="1259"/>
      <c r="C724" s="1259"/>
      <c r="D724" s="1259"/>
      <c r="E724" s="1259"/>
      <c r="F724" s="1259"/>
      <c r="G724" s="1259"/>
      <c r="H724" s="1259"/>
      <c r="I724" s="1259"/>
      <c r="J724" s="1259"/>
      <c r="K724" s="1259"/>
      <c r="L724" s="1259"/>
      <c r="M724" s="1259"/>
      <c r="N724" s="1259"/>
      <c r="O724" s="1259"/>
      <c r="P724" s="1259"/>
      <c r="Q724" s="1259"/>
      <c r="R724" s="1259"/>
      <c r="S724" s="1259"/>
      <c r="T724" s="1259"/>
      <c r="U724" s="1259"/>
      <c r="V724" s="1259"/>
      <c r="W724" s="1259"/>
      <c r="X724" s="1259"/>
      <c r="Y724" s="1259"/>
      <c r="Z724" s="1259"/>
    </row>
    <row r="725" spans="1:26" ht="15.75" customHeight="1">
      <c r="A725" s="1259"/>
      <c r="B725" s="1259"/>
      <c r="C725" s="1259"/>
      <c r="D725" s="1259"/>
      <c r="E725" s="1259"/>
      <c r="F725" s="1259"/>
      <c r="G725" s="1259"/>
      <c r="H725" s="1259"/>
      <c r="I725" s="1259"/>
      <c r="J725" s="1259"/>
      <c r="K725" s="1259"/>
      <c r="L725" s="1259"/>
      <c r="M725" s="1259"/>
      <c r="N725" s="1259"/>
      <c r="O725" s="1259"/>
      <c r="P725" s="1259"/>
      <c r="Q725" s="1259"/>
      <c r="R725" s="1259"/>
      <c r="S725" s="1259"/>
      <c r="T725" s="1259"/>
      <c r="U725" s="1259"/>
      <c r="V725" s="1259"/>
      <c r="W725" s="1259"/>
      <c r="X725" s="1259"/>
      <c r="Y725" s="1259"/>
      <c r="Z725" s="1259"/>
    </row>
    <row r="726" spans="1:26" ht="15.75" customHeight="1">
      <c r="A726" s="1259"/>
      <c r="B726" s="1259"/>
      <c r="C726" s="1259"/>
      <c r="D726" s="1259"/>
      <c r="E726" s="1259"/>
      <c r="F726" s="1259"/>
      <c r="G726" s="1259"/>
      <c r="H726" s="1259"/>
      <c r="I726" s="1259"/>
      <c r="J726" s="1259"/>
      <c r="K726" s="1259"/>
      <c r="L726" s="1259"/>
      <c r="M726" s="1259"/>
      <c r="N726" s="1259"/>
      <c r="O726" s="1259"/>
      <c r="P726" s="1259"/>
      <c r="Q726" s="1259"/>
      <c r="R726" s="1259"/>
      <c r="S726" s="1259"/>
      <c r="T726" s="1259"/>
      <c r="U726" s="1259"/>
      <c r="V726" s="1259"/>
      <c r="W726" s="1259"/>
      <c r="X726" s="1259"/>
      <c r="Y726" s="1259"/>
      <c r="Z726" s="1259"/>
    </row>
    <row r="727" spans="1:26" ht="15.75" customHeight="1">
      <c r="A727" s="1259"/>
      <c r="B727" s="1259"/>
      <c r="C727" s="1259"/>
      <c r="D727" s="1259"/>
      <c r="E727" s="1259"/>
      <c r="F727" s="1259"/>
      <c r="G727" s="1259"/>
      <c r="H727" s="1259"/>
      <c r="I727" s="1259"/>
      <c r="J727" s="1259"/>
      <c r="K727" s="1259"/>
      <c r="L727" s="1259"/>
      <c r="M727" s="1259"/>
      <c r="N727" s="1259"/>
      <c r="O727" s="1259"/>
      <c r="P727" s="1259"/>
      <c r="Q727" s="1259"/>
      <c r="R727" s="1259"/>
      <c r="S727" s="1259"/>
      <c r="T727" s="1259"/>
      <c r="U727" s="1259"/>
      <c r="V727" s="1259"/>
      <c r="W727" s="1259"/>
      <c r="X727" s="1259"/>
      <c r="Y727" s="1259"/>
      <c r="Z727" s="1259"/>
    </row>
    <row r="728" spans="1:26" ht="15.75" customHeight="1">
      <c r="A728" s="1259"/>
      <c r="B728" s="1259"/>
      <c r="C728" s="1259"/>
      <c r="D728" s="1259"/>
      <c r="E728" s="1259"/>
      <c r="F728" s="1259"/>
      <c r="G728" s="1259"/>
      <c r="H728" s="1259"/>
      <c r="I728" s="1259"/>
      <c r="J728" s="1259"/>
      <c r="K728" s="1259"/>
      <c r="L728" s="1259"/>
      <c r="M728" s="1259"/>
      <c r="N728" s="1259"/>
      <c r="O728" s="1259"/>
      <c r="P728" s="1259"/>
      <c r="Q728" s="1259"/>
      <c r="R728" s="1259"/>
      <c r="S728" s="1259"/>
      <c r="T728" s="1259"/>
      <c r="U728" s="1259"/>
      <c r="V728" s="1259"/>
      <c r="W728" s="1259"/>
      <c r="X728" s="1259"/>
      <c r="Y728" s="1259"/>
      <c r="Z728" s="1259"/>
    </row>
    <row r="729" spans="1:26" ht="15.75" customHeight="1">
      <c r="A729" s="1259"/>
      <c r="B729" s="1259"/>
      <c r="C729" s="1259"/>
      <c r="D729" s="1259"/>
      <c r="E729" s="1259"/>
      <c r="F729" s="1259"/>
      <c r="G729" s="1259"/>
      <c r="H729" s="1259"/>
      <c r="I729" s="1259"/>
      <c r="J729" s="1259"/>
      <c r="K729" s="1259"/>
      <c r="L729" s="1259"/>
      <c r="M729" s="1259"/>
      <c r="N729" s="1259"/>
      <c r="O729" s="1259"/>
      <c r="P729" s="1259"/>
      <c r="Q729" s="1259"/>
      <c r="R729" s="1259"/>
      <c r="S729" s="1259"/>
      <c r="T729" s="1259"/>
      <c r="U729" s="1259"/>
      <c r="V729" s="1259"/>
      <c r="W729" s="1259"/>
      <c r="X729" s="1259"/>
      <c r="Y729" s="1259"/>
      <c r="Z729" s="1259"/>
    </row>
    <row r="730" spans="1:26" ht="15.75" customHeight="1">
      <c r="A730" s="1259"/>
      <c r="B730" s="1259"/>
      <c r="C730" s="1259"/>
      <c r="D730" s="1259"/>
      <c r="E730" s="1259"/>
      <c r="F730" s="1259"/>
      <c r="G730" s="1259"/>
      <c r="H730" s="1259"/>
      <c r="I730" s="1259"/>
      <c r="J730" s="1259"/>
      <c r="K730" s="1259"/>
      <c r="L730" s="1259"/>
      <c r="M730" s="1259"/>
      <c r="N730" s="1259"/>
      <c r="O730" s="1259"/>
      <c r="P730" s="1259"/>
      <c r="Q730" s="1259"/>
      <c r="R730" s="1259"/>
      <c r="S730" s="1259"/>
      <c r="T730" s="1259"/>
      <c r="U730" s="1259"/>
      <c r="V730" s="1259"/>
      <c r="W730" s="1259"/>
      <c r="X730" s="1259"/>
      <c r="Y730" s="1259"/>
      <c r="Z730" s="1259"/>
    </row>
    <row r="731" spans="1:26" ht="15.75" customHeight="1">
      <c r="A731" s="1259"/>
      <c r="B731" s="1259"/>
      <c r="C731" s="1259"/>
      <c r="D731" s="1259"/>
      <c r="E731" s="1259"/>
      <c r="F731" s="1259"/>
      <c r="G731" s="1259"/>
      <c r="H731" s="1259"/>
      <c r="I731" s="1259"/>
      <c r="J731" s="1259"/>
      <c r="K731" s="1259"/>
      <c r="L731" s="1259"/>
      <c r="M731" s="1259"/>
      <c r="N731" s="1259"/>
      <c r="O731" s="1259"/>
      <c r="P731" s="1259"/>
      <c r="Q731" s="1259"/>
      <c r="R731" s="1259"/>
      <c r="S731" s="1259"/>
      <c r="T731" s="1259"/>
      <c r="U731" s="1259"/>
      <c r="V731" s="1259"/>
      <c r="W731" s="1259"/>
      <c r="X731" s="1259"/>
      <c r="Y731" s="1259"/>
      <c r="Z731" s="1259"/>
    </row>
    <row r="732" spans="1:26" ht="15.75" customHeight="1">
      <c r="A732" s="1259"/>
      <c r="B732" s="1259"/>
      <c r="C732" s="1259"/>
      <c r="D732" s="1259"/>
      <c r="E732" s="1259"/>
      <c r="F732" s="1259"/>
      <c r="G732" s="1259"/>
      <c r="H732" s="1259"/>
      <c r="I732" s="1259"/>
      <c r="J732" s="1259"/>
      <c r="K732" s="1259"/>
      <c r="L732" s="1259"/>
      <c r="M732" s="1259"/>
      <c r="N732" s="1259"/>
      <c r="O732" s="1259"/>
      <c r="P732" s="1259"/>
      <c r="Q732" s="1259"/>
      <c r="R732" s="1259"/>
      <c r="S732" s="1259"/>
      <c r="T732" s="1259"/>
      <c r="U732" s="1259"/>
      <c r="V732" s="1259"/>
      <c r="W732" s="1259"/>
      <c r="X732" s="1259"/>
      <c r="Y732" s="1259"/>
      <c r="Z732" s="1259"/>
    </row>
    <row r="733" spans="1:26" ht="15.75" customHeight="1">
      <c r="A733" s="1259"/>
      <c r="B733" s="1259"/>
      <c r="C733" s="1259"/>
      <c r="D733" s="1259"/>
      <c r="E733" s="1259"/>
      <c r="F733" s="1259"/>
      <c r="G733" s="1259"/>
      <c r="H733" s="1259"/>
      <c r="I733" s="1259"/>
      <c r="J733" s="1259"/>
      <c r="K733" s="1259"/>
      <c r="L733" s="1259"/>
      <c r="M733" s="1259"/>
      <c r="N733" s="1259"/>
      <c r="O733" s="1259"/>
      <c r="P733" s="1259"/>
      <c r="Q733" s="1259"/>
      <c r="R733" s="1259"/>
      <c r="S733" s="1259"/>
      <c r="T733" s="1259"/>
      <c r="U733" s="1259"/>
      <c r="V733" s="1259"/>
      <c r="W733" s="1259"/>
      <c r="X733" s="1259"/>
      <c r="Y733" s="1259"/>
      <c r="Z733" s="1259"/>
    </row>
    <row r="734" spans="1:26" ht="15.75" customHeight="1">
      <c r="A734" s="1259"/>
      <c r="B734" s="1259"/>
      <c r="C734" s="1259"/>
      <c r="D734" s="1259"/>
      <c r="E734" s="1259"/>
      <c r="F734" s="1259"/>
      <c r="G734" s="1259"/>
      <c r="H734" s="1259"/>
      <c r="I734" s="1259"/>
      <c r="J734" s="1259"/>
      <c r="K734" s="1259"/>
      <c r="L734" s="1259"/>
      <c r="M734" s="1259"/>
      <c r="N734" s="1259"/>
      <c r="O734" s="1259"/>
      <c r="P734" s="1259"/>
      <c r="Q734" s="1259"/>
      <c r="R734" s="1259"/>
      <c r="S734" s="1259"/>
      <c r="T734" s="1259"/>
      <c r="U734" s="1259"/>
      <c r="V734" s="1259"/>
      <c r="W734" s="1259"/>
      <c r="X734" s="1259"/>
      <c r="Y734" s="1259"/>
      <c r="Z734" s="1259"/>
    </row>
    <row r="735" spans="1:26" ht="15.75" customHeight="1">
      <c r="A735" s="1259"/>
      <c r="B735" s="1259"/>
      <c r="C735" s="1259"/>
      <c r="D735" s="1259"/>
      <c r="E735" s="1259"/>
      <c r="F735" s="1259"/>
      <c r="G735" s="1259"/>
      <c r="H735" s="1259"/>
      <c r="I735" s="1259"/>
      <c r="J735" s="1259"/>
      <c r="K735" s="1259"/>
      <c r="L735" s="1259"/>
      <c r="M735" s="1259"/>
      <c r="N735" s="1259"/>
      <c r="O735" s="1259"/>
      <c r="P735" s="1259"/>
      <c r="Q735" s="1259"/>
      <c r="R735" s="1259"/>
      <c r="S735" s="1259"/>
      <c r="T735" s="1259"/>
      <c r="U735" s="1259"/>
      <c r="V735" s="1259"/>
      <c r="W735" s="1259"/>
      <c r="X735" s="1259"/>
      <c r="Y735" s="1259"/>
      <c r="Z735" s="1259"/>
    </row>
    <row r="736" spans="1:26" ht="15.75" customHeight="1">
      <c r="A736" s="1259"/>
      <c r="B736" s="1259"/>
      <c r="C736" s="1259"/>
      <c r="D736" s="1259"/>
      <c r="E736" s="1259"/>
      <c r="F736" s="1259"/>
      <c r="G736" s="1259"/>
      <c r="H736" s="1259"/>
      <c r="I736" s="1259"/>
      <c r="J736" s="1259"/>
      <c r="K736" s="1259"/>
      <c r="L736" s="1259"/>
      <c r="M736" s="1259"/>
      <c r="N736" s="1259"/>
      <c r="O736" s="1259"/>
      <c r="P736" s="1259"/>
      <c r="Q736" s="1259"/>
      <c r="R736" s="1259"/>
      <c r="S736" s="1259"/>
      <c r="T736" s="1259"/>
      <c r="U736" s="1259"/>
      <c r="V736" s="1259"/>
      <c r="W736" s="1259"/>
      <c r="X736" s="1259"/>
      <c r="Y736" s="1259"/>
      <c r="Z736" s="1259"/>
    </row>
    <row r="737" spans="1:26" ht="15.75" customHeight="1">
      <c r="A737" s="1259"/>
      <c r="B737" s="1259"/>
      <c r="C737" s="1259"/>
      <c r="D737" s="1259"/>
      <c r="E737" s="1259"/>
      <c r="F737" s="1259"/>
      <c r="G737" s="1259"/>
      <c r="H737" s="1259"/>
      <c r="I737" s="1259"/>
      <c r="J737" s="1259"/>
      <c r="K737" s="1259"/>
      <c r="L737" s="1259"/>
      <c r="M737" s="1259"/>
      <c r="N737" s="1259"/>
      <c r="O737" s="1259"/>
      <c r="P737" s="1259"/>
      <c r="Q737" s="1259"/>
      <c r="R737" s="1259"/>
      <c r="S737" s="1259"/>
      <c r="T737" s="1259"/>
      <c r="U737" s="1259"/>
      <c r="V737" s="1259"/>
      <c r="W737" s="1259"/>
      <c r="X737" s="1259"/>
      <c r="Y737" s="1259"/>
      <c r="Z737" s="1259"/>
    </row>
    <row r="738" spans="1:26" ht="15.75" customHeight="1">
      <c r="A738" s="1259"/>
      <c r="B738" s="1259"/>
      <c r="C738" s="1259"/>
      <c r="D738" s="1259"/>
      <c r="E738" s="1259"/>
      <c r="F738" s="1259"/>
      <c r="G738" s="1259"/>
      <c r="H738" s="1259"/>
      <c r="I738" s="1259"/>
      <c r="J738" s="1259"/>
      <c r="K738" s="1259"/>
      <c r="L738" s="1259"/>
      <c r="M738" s="1259"/>
      <c r="N738" s="1259"/>
      <c r="O738" s="1259"/>
      <c r="P738" s="1259"/>
      <c r="Q738" s="1259"/>
      <c r="R738" s="1259"/>
      <c r="S738" s="1259"/>
      <c r="T738" s="1259"/>
      <c r="U738" s="1259"/>
      <c r="V738" s="1259"/>
      <c r="W738" s="1259"/>
      <c r="X738" s="1259"/>
      <c r="Y738" s="1259"/>
      <c r="Z738" s="1259"/>
    </row>
    <row r="739" spans="1:26" ht="15.75" customHeight="1">
      <c r="A739" s="1259"/>
      <c r="B739" s="1259"/>
      <c r="C739" s="1259"/>
      <c r="D739" s="1259"/>
      <c r="E739" s="1259"/>
      <c r="F739" s="1259"/>
      <c r="G739" s="1259"/>
      <c r="H739" s="1259"/>
      <c r="I739" s="1259"/>
      <c r="J739" s="1259"/>
      <c r="K739" s="1259"/>
      <c r="L739" s="1259"/>
      <c r="M739" s="1259"/>
      <c r="N739" s="1259"/>
      <c r="O739" s="1259"/>
      <c r="P739" s="1259"/>
      <c r="Q739" s="1259"/>
      <c r="R739" s="1259"/>
      <c r="S739" s="1259"/>
      <c r="T739" s="1259"/>
      <c r="U739" s="1259"/>
      <c r="V739" s="1259"/>
      <c r="W739" s="1259"/>
      <c r="X739" s="1259"/>
      <c r="Y739" s="1259"/>
      <c r="Z739" s="1259"/>
    </row>
    <row r="740" spans="1:26" ht="15.75" customHeight="1">
      <c r="A740" s="1259"/>
      <c r="B740" s="1259"/>
      <c r="C740" s="1259"/>
      <c r="D740" s="1259"/>
      <c r="E740" s="1259"/>
      <c r="F740" s="1259"/>
      <c r="G740" s="1259"/>
      <c r="H740" s="1259"/>
      <c r="I740" s="1259"/>
      <c r="J740" s="1259"/>
      <c r="K740" s="1259"/>
      <c r="L740" s="1259"/>
      <c r="M740" s="1259"/>
      <c r="N740" s="1259"/>
      <c r="O740" s="1259"/>
      <c r="P740" s="1259"/>
      <c r="Q740" s="1259"/>
      <c r="R740" s="1259"/>
      <c r="S740" s="1259"/>
      <c r="T740" s="1259"/>
      <c r="U740" s="1259"/>
      <c r="V740" s="1259"/>
      <c r="W740" s="1259"/>
      <c r="X740" s="1259"/>
      <c r="Y740" s="1259"/>
      <c r="Z740" s="1259"/>
    </row>
    <row r="741" spans="1:26" ht="15.75" customHeight="1">
      <c r="A741" s="1259"/>
      <c r="B741" s="1259"/>
      <c r="C741" s="1259"/>
      <c r="D741" s="1259"/>
      <c r="E741" s="1259"/>
      <c r="F741" s="1259"/>
      <c r="G741" s="1259"/>
      <c r="H741" s="1259"/>
      <c r="I741" s="1259"/>
      <c r="J741" s="1259"/>
      <c r="K741" s="1259"/>
      <c r="L741" s="1259"/>
      <c r="M741" s="1259"/>
      <c r="N741" s="1259"/>
      <c r="O741" s="1259"/>
      <c r="P741" s="1259"/>
      <c r="Q741" s="1259"/>
      <c r="R741" s="1259"/>
      <c r="S741" s="1259"/>
      <c r="T741" s="1259"/>
      <c r="U741" s="1259"/>
      <c r="V741" s="1259"/>
      <c r="W741" s="1259"/>
      <c r="X741" s="1259"/>
      <c r="Y741" s="1259"/>
      <c r="Z741" s="1259"/>
    </row>
    <row r="742" spans="1:26" ht="15.75" customHeight="1">
      <c r="A742" s="1259"/>
      <c r="B742" s="1259"/>
      <c r="C742" s="1259"/>
      <c r="D742" s="1259"/>
      <c r="E742" s="1259"/>
      <c r="F742" s="1259"/>
      <c r="G742" s="1259"/>
      <c r="H742" s="1259"/>
      <c r="I742" s="1259"/>
      <c r="J742" s="1259"/>
      <c r="K742" s="1259"/>
      <c r="L742" s="1259"/>
      <c r="M742" s="1259"/>
      <c r="N742" s="1259"/>
      <c r="O742" s="1259"/>
      <c r="P742" s="1259"/>
      <c r="Q742" s="1259"/>
      <c r="R742" s="1259"/>
      <c r="S742" s="1259"/>
      <c r="T742" s="1259"/>
      <c r="U742" s="1259"/>
      <c r="V742" s="1259"/>
      <c r="W742" s="1259"/>
      <c r="X742" s="1259"/>
      <c r="Y742" s="1259"/>
      <c r="Z742" s="1259"/>
    </row>
    <row r="743" spans="1:26" ht="15.75" customHeight="1">
      <c r="A743" s="1259"/>
      <c r="B743" s="1259"/>
      <c r="C743" s="1259"/>
      <c r="D743" s="1259"/>
      <c r="E743" s="1259"/>
      <c r="F743" s="1259"/>
      <c r="G743" s="1259"/>
      <c r="H743" s="1259"/>
      <c r="I743" s="1259"/>
      <c r="J743" s="1259"/>
      <c r="K743" s="1259"/>
      <c r="L743" s="1259"/>
      <c r="M743" s="1259"/>
      <c r="N743" s="1259"/>
      <c r="O743" s="1259"/>
      <c r="P743" s="1259"/>
      <c r="Q743" s="1259"/>
      <c r="R743" s="1259"/>
      <c r="S743" s="1259"/>
      <c r="T743" s="1259"/>
      <c r="U743" s="1259"/>
      <c r="V743" s="1259"/>
      <c r="W743" s="1259"/>
      <c r="X743" s="1259"/>
      <c r="Y743" s="1259"/>
      <c r="Z743" s="1259"/>
    </row>
    <row r="744" spans="1:26" ht="15.75" customHeight="1">
      <c r="A744" s="1259"/>
      <c r="B744" s="1259"/>
      <c r="C744" s="1259"/>
      <c r="D744" s="1259"/>
      <c r="E744" s="1259"/>
      <c r="F744" s="1259"/>
      <c r="G744" s="1259"/>
      <c r="H744" s="1259"/>
      <c r="I744" s="1259"/>
      <c r="J744" s="1259"/>
      <c r="K744" s="1259"/>
      <c r="L744" s="1259"/>
      <c r="M744" s="1259"/>
      <c r="N744" s="1259"/>
      <c r="O744" s="1259"/>
      <c r="P744" s="1259"/>
      <c r="Q744" s="1259"/>
      <c r="R744" s="1259"/>
      <c r="S744" s="1259"/>
      <c r="T744" s="1259"/>
      <c r="U744" s="1259"/>
      <c r="V744" s="1259"/>
      <c r="W744" s="1259"/>
      <c r="X744" s="1259"/>
      <c r="Y744" s="1259"/>
      <c r="Z744" s="1259"/>
    </row>
    <row r="745" spans="1:26" ht="15.75" customHeight="1">
      <c r="A745" s="1259"/>
      <c r="B745" s="1259"/>
      <c r="C745" s="1259"/>
      <c r="D745" s="1259"/>
      <c r="E745" s="1259"/>
      <c r="F745" s="1259"/>
      <c r="G745" s="1259"/>
      <c r="H745" s="1259"/>
      <c r="I745" s="1259"/>
      <c r="J745" s="1259"/>
      <c r="K745" s="1259"/>
      <c r="L745" s="1259"/>
      <c r="M745" s="1259"/>
      <c r="N745" s="1259"/>
      <c r="O745" s="1259"/>
      <c r="P745" s="1259"/>
      <c r="Q745" s="1259"/>
      <c r="R745" s="1259"/>
      <c r="S745" s="1259"/>
      <c r="T745" s="1259"/>
      <c r="U745" s="1259"/>
      <c r="V745" s="1259"/>
      <c r="W745" s="1259"/>
      <c r="X745" s="1259"/>
      <c r="Y745" s="1259"/>
      <c r="Z745" s="1259"/>
    </row>
    <row r="746" spans="1:26" ht="15.75" customHeight="1">
      <c r="A746" s="1259"/>
      <c r="B746" s="1259"/>
      <c r="C746" s="1259"/>
      <c r="D746" s="1259"/>
      <c r="E746" s="1259"/>
      <c r="F746" s="1259"/>
      <c r="G746" s="1259"/>
      <c r="H746" s="1259"/>
      <c r="I746" s="1259"/>
      <c r="J746" s="1259"/>
      <c r="K746" s="1259"/>
      <c r="L746" s="1259"/>
      <c r="M746" s="1259"/>
      <c r="N746" s="1259"/>
      <c r="O746" s="1259"/>
      <c r="P746" s="1259"/>
      <c r="Q746" s="1259"/>
      <c r="R746" s="1259"/>
      <c r="S746" s="1259"/>
      <c r="T746" s="1259"/>
      <c r="U746" s="1259"/>
      <c r="V746" s="1259"/>
      <c r="W746" s="1259"/>
      <c r="X746" s="1259"/>
      <c r="Y746" s="1259"/>
      <c r="Z746" s="1259"/>
    </row>
    <row r="747" spans="1:26" ht="15.75" customHeight="1">
      <c r="A747" s="1259"/>
      <c r="B747" s="1259"/>
      <c r="C747" s="1259"/>
      <c r="D747" s="1259"/>
      <c r="E747" s="1259"/>
      <c r="F747" s="1259"/>
      <c r="G747" s="1259"/>
      <c r="H747" s="1259"/>
      <c r="I747" s="1259"/>
      <c r="J747" s="1259"/>
      <c r="K747" s="1259"/>
      <c r="L747" s="1259"/>
      <c r="M747" s="1259"/>
      <c r="N747" s="1259"/>
      <c r="O747" s="1259"/>
      <c r="P747" s="1259"/>
      <c r="Q747" s="1259"/>
      <c r="R747" s="1259"/>
      <c r="S747" s="1259"/>
      <c r="T747" s="1259"/>
      <c r="U747" s="1259"/>
      <c r="V747" s="1259"/>
      <c r="W747" s="1259"/>
      <c r="X747" s="1259"/>
      <c r="Y747" s="1259"/>
      <c r="Z747" s="1259"/>
    </row>
    <row r="748" spans="1:26" ht="15.75" customHeight="1">
      <c r="A748" s="1259"/>
      <c r="B748" s="1259"/>
      <c r="C748" s="1259"/>
      <c r="D748" s="1259"/>
      <c r="E748" s="1259"/>
      <c r="F748" s="1259"/>
      <c r="G748" s="1259"/>
      <c r="H748" s="1259"/>
      <c r="I748" s="1259"/>
      <c r="J748" s="1259"/>
      <c r="K748" s="1259"/>
      <c r="L748" s="1259"/>
      <c r="M748" s="1259"/>
      <c r="N748" s="1259"/>
      <c r="O748" s="1259"/>
      <c r="P748" s="1259"/>
      <c r="Q748" s="1259"/>
      <c r="R748" s="1259"/>
      <c r="S748" s="1259"/>
      <c r="T748" s="1259"/>
      <c r="U748" s="1259"/>
      <c r="V748" s="1259"/>
      <c r="W748" s="1259"/>
      <c r="X748" s="1259"/>
      <c r="Y748" s="1259"/>
      <c r="Z748" s="1259"/>
    </row>
    <row r="749" spans="1:26" ht="15.75" customHeight="1">
      <c r="A749" s="1259"/>
      <c r="B749" s="1259"/>
      <c r="C749" s="1259"/>
      <c r="D749" s="1259"/>
      <c r="E749" s="1259"/>
      <c r="F749" s="1259"/>
      <c r="G749" s="1259"/>
      <c r="H749" s="1259"/>
      <c r="I749" s="1259"/>
      <c r="J749" s="1259"/>
      <c r="K749" s="1259"/>
      <c r="L749" s="1259"/>
      <c r="M749" s="1259"/>
      <c r="N749" s="1259"/>
      <c r="O749" s="1259"/>
      <c r="P749" s="1259"/>
      <c r="Q749" s="1259"/>
      <c r="R749" s="1259"/>
      <c r="S749" s="1259"/>
      <c r="T749" s="1259"/>
      <c r="U749" s="1259"/>
      <c r="V749" s="1259"/>
      <c r="W749" s="1259"/>
      <c r="X749" s="1259"/>
      <c r="Y749" s="1259"/>
      <c r="Z749" s="1259"/>
    </row>
    <row r="750" spans="1:26" ht="15.75" customHeight="1">
      <c r="A750" s="1259"/>
      <c r="B750" s="1259"/>
      <c r="C750" s="1259"/>
      <c r="D750" s="1259"/>
      <c r="E750" s="1259"/>
      <c r="F750" s="1259"/>
      <c r="G750" s="1259"/>
      <c r="H750" s="1259"/>
      <c r="I750" s="1259"/>
      <c r="J750" s="1259"/>
      <c r="K750" s="1259"/>
      <c r="L750" s="1259"/>
      <c r="M750" s="1259"/>
      <c r="N750" s="1259"/>
      <c r="O750" s="1259"/>
      <c r="P750" s="1259"/>
      <c r="Q750" s="1259"/>
      <c r="R750" s="1259"/>
      <c r="S750" s="1259"/>
      <c r="T750" s="1259"/>
      <c r="U750" s="1259"/>
      <c r="V750" s="1259"/>
      <c r="W750" s="1259"/>
      <c r="X750" s="1259"/>
      <c r="Y750" s="1259"/>
      <c r="Z750" s="1259"/>
    </row>
    <row r="751" spans="1:26" ht="15.75" customHeight="1">
      <c r="A751" s="1259"/>
      <c r="B751" s="1259"/>
      <c r="C751" s="1259"/>
      <c r="D751" s="1259"/>
      <c r="E751" s="1259"/>
      <c r="F751" s="1259"/>
      <c r="G751" s="1259"/>
      <c r="H751" s="1259"/>
      <c r="I751" s="1259"/>
      <c r="J751" s="1259"/>
      <c r="K751" s="1259"/>
      <c r="L751" s="1259"/>
      <c r="M751" s="1259"/>
      <c r="N751" s="1259"/>
      <c r="O751" s="1259"/>
      <c r="P751" s="1259"/>
      <c r="Q751" s="1259"/>
      <c r="R751" s="1259"/>
      <c r="S751" s="1259"/>
      <c r="T751" s="1259"/>
      <c r="U751" s="1259"/>
      <c r="V751" s="1259"/>
      <c r="W751" s="1259"/>
      <c r="X751" s="1259"/>
      <c r="Y751" s="1259"/>
      <c r="Z751" s="1259"/>
    </row>
    <row r="752" spans="1:26" ht="15.75" customHeight="1">
      <c r="A752" s="1259"/>
      <c r="B752" s="1259"/>
      <c r="C752" s="1259"/>
      <c r="D752" s="1259"/>
      <c r="E752" s="1259"/>
      <c r="F752" s="1259"/>
      <c r="G752" s="1259"/>
      <c r="H752" s="1259"/>
      <c r="I752" s="1259"/>
      <c r="J752" s="1259"/>
      <c r="K752" s="1259"/>
      <c r="L752" s="1259"/>
      <c r="M752" s="1259"/>
      <c r="N752" s="1259"/>
      <c r="O752" s="1259"/>
      <c r="P752" s="1259"/>
      <c r="Q752" s="1259"/>
      <c r="R752" s="1259"/>
      <c r="S752" s="1259"/>
      <c r="T752" s="1259"/>
      <c r="U752" s="1259"/>
      <c r="V752" s="1259"/>
      <c r="W752" s="1259"/>
      <c r="X752" s="1259"/>
      <c r="Y752" s="1259"/>
      <c r="Z752" s="1259"/>
    </row>
    <row r="753" spans="1:26" ht="15.75" customHeight="1">
      <c r="A753" s="1259"/>
      <c r="B753" s="1259"/>
      <c r="C753" s="1259"/>
      <c r="D753" s="1259"/>
      <c r="E753" s="1259"/>
      <c r="F753" s="1259"/>
      <c r="G753" s="1259"/>
      <c r="H753" s="1259"/>
      <c r="I753" s="1259"/>
      <c r="J753" s="1259"/>
      <c r="K753" s="1259"/>
      <c r="L753" s="1259"/>
      <c r="M753" s="1259"/>
      <c r="N753" s="1259"/>
      <c r="O753" s="1259"/>
      <c r="P753" s="1259"/>
      <c r="Q753" s="1259"/>
      <c r="R753" s="1259"/>
      <c r="S753" s="1259"/>
      <c r="T753" s="1259"/>
      <c r="U753" s="1259"/>
      <c r="V753" s="1259"/>
      <c r="W753" s="1259"/>
      <c r="X753" s="1259"/>
      <c r="Y753" s="1259"/>
      <c r="Z753" s="1259"/>
    </row>
    <row r="754" spans="1:26" ht="15.75" customHeight="1">
      <c r="A754" s="1259"/>
      <c r="B754" s="1259"/>
      <c r="C754" s="1259"/>
      <c r="D754" s="1259"/>
      <c r="E754" s="1259"/>
      <c r="F754" s="1259"/>
      <c r="G754" s="1259"/>
      <c r="H754" s="1259"/>
      <c r="I754" s="1259"/>
      <c r="J754" s="1259"/>
      <c r="K754" s="1259"/>
      <c r="L754" s="1259"/>
      <c r="M754" s="1259"/>
      <c r="N754" s="1259"/>
      <c r="O754" s="1259"/>
      <c r="P754" s="1259"/>
      <c r="Q754" s="1259"/>
      <c r="R754" s="1259"/>
      <c r="S754" s="1259"/>
      <c r="T754" s="1259"/>
      <c r="U754" s="1259"/>
      <c r="V754" s="1259"/>
      <c r="W754" s="1259"/>
      <c r="X754" s="1259"/>
      <c r="Y754" s="1259"/>
      <c r="Z754" s="1259"/>
    </row>
    <row r="755" spans="1:26" ht="15.75" customHeight="1">
      <c r="A755" s="1259"/>
      <c r="B755" s="1259"/>
      <c r="C755" s="1259"/>
      <c r="D755" s="1259"/>
      <c r="E755" s="1259"/>
      <c r="F755" s="1259"/>
      <c r="G755" s="1259"/>
      <c r="H755" s="1259"/>
      <c r="I755" s="1259"/>
      <c r="J755" s="1259"/>
      <c r="K755" s="1259"/>
      <c r="L755" s="1259"/>
      <c r="M755" s="1259"/>
      <c r="N755" s="1259"/>
      <c r="O755" s="1259"/>
      <c r="P755" s="1259"/>
      <c r="Q755" s="1259"/>
      <c r="R755" s="1259"/>
      <c r="S755" s="1259"/>
      <c r="T755" s="1259"/>
      <c r="U755" s="1259"/>
      <c r="V755" s="1259"/>
      <c r="W755" s="1259"/>
      <c r="X755" s="1259"/>
      <c r="Y755" s="1259"/>
      <c r="Z755" s="1259"/>
    </row>
    <row r="756" spans="1:26" ht="15.75" customHeight="1">
      <c r="A756" s="1259"/>
      <c r="B756" s="1259"/>
      <c r="C756" s="1259"/>
      <c r="D756" s="1259"/>
      <c r="E756" s="1259"/>
      <c r="F756" s="1259"/>
      <c r="G756" s="1259"/>
      <c r="H756" s="1259"/>
      <c r="I756" s="1259"/>
      <c r="J756" s="1259"/>
      <c r="K756" s="1259"/>
      <c r="L756" s="1259"/>
      <c r="M756" s="1259"/>
      <c r="N756" s="1259"/>
      <c r="O756" s="1259"/>
      <c r="P756" s="1259"/>
      <c r="Q756" s="1259"/>
      <c r="R756" s="1259"/>
      <c r="S756" s="1259"/>
      <c r="T756" s="1259"/>
      <c r="U756" s="1259"/>
      <c r="V756" s="1259"/>
      <c r="W756" s="1259"/>
      <c r="X756" s="1259"/>
      <c r="Y756" s="1259"/>
      <c r="Z756" s="1259"/>
    </row>
    <row r="757" spans="1:26" ht="15.75" customHeight="1">
      <c r="A757" s="1259"/>
      <c r="B757" s="1259"/>
      <c r="C757" s="1259"/>
      <c r="D757" s="1259"/>
      <c r="E757" s="1259"/>
      <c r="F757" s="1259"/>
      <c r="G757" s="1259"/>
      <c r="H757" s="1259"/>
      <c r="I757" s="1259"/>
      <c r="J757" s="1259"/>
      <c r="K757" s="1259"/>
      <c r="L757" s="1259"/>
      <c r="M757" s="1259"/>
      <c r="N757" s="1259"/>
      <c r="O757" s="1259"/>
      <c r="P757" s="1259"/>
      <c r="Q757" s="1259"/>
      <c r="R757" s="1259"/>
      <c r="S757" s="1259"/>
      <c r="T757" s="1259"/>
      <c r="U757" s="1259"/>
      <c r="V757" s="1259"/>
      <c r="W757" s="1259"/>
      <c r="X757" s="1259"/>
      <c r="Y757" s="1259"/>
      <c r="Z757" s="1259"/>
    </row>
    <row r="758" spans="1:26" ht="15.75" customHeight="1">
      <c r="A758" s="1259"/>
      <c r="B758" s="1259"/>
      <c r="C758" s="1259"/>
      <c r="D758" s="1259"/>
      <c r="E758" s="1259"/>
      <c r="F758" s="1259"/>
      <c r="G758" s="1259"/>
      <c r="H758" s="1259"/>
      <c r="I758" s="1259"/>
      <c r="J758" s="1259"/>
      <c r="K758" s="1259"/>
      <c r="L758" s="1259"/>
      <c r="M758" s="1259"/>
      <c r="N758" s="1259"/>
      <c r="O758" s="1259"/>
      <c r="P758" s="1259"/>
      <c r="Q758" s="1259"/>
      <c r="R758" s="1259"/>
      <c r="S758" s="1259"/>
      <c r="T758" s="1259"/>
      <c r="U758" s="1259"/>
      <c r="V758" s="1259"/>
      <c r="W758" s="1259"/>
      <c r="X758" s="1259"/>
      <c r="Y758" s="1259"/>
      <c r="Z758" s="1259"/>
    </row>
    <row r="759" spans="1:26" ht="15.75" customHeight="1">
      <c r="A759" s="1259"/>
      <c r="B759" s="1259"/>
      <c r="C759" s="1259"/>
      <c r="D759" s="1259"/>
      <c r="E759" s="1259"/>
      <c r="F759" s="1259"/>
      <c r="G759" s="1259"/>
      <c r="H759" s="1259"/>
      <c r="I759" s="1259"/>
      <c r="J759" s="1259"/>
      <c r="K759" s="1259"/>
      <c r="L759" s="1259"/>
      <c r="M759" s="1259"/>
      <c r="N759" s="1259"/>
      <c r="O759" s="1259"/>
      <c r="P759" s="1259"/>
      <c r="Q759" s="1259"/>
      <c r="R759" s="1259"/>
      <c r="S759" s="1259"/>
      <c r="T759" s="1259"/>
      <c r="U759" s="1259"/>
      <c r="V759" s="1259"/>
      <c r="W759" s="1259"/>
      <c r="X759" s="1259"/>
      <c r="Y759" s="1259"/>
      <c r="Z759" s="1259"/>
    </row>
    <row r="760" spans="1:26" ht="15.75" customHeight="1">
      <c r="A760" s="1259"/>
      <c r="B760" s="1259"/>
      <c r="C760" s="1259"/>
      <c r="D760" s="1259"/>
      <c r="E760" s="1259"/>
      <c r="F760" s="1259"/>
      <c r="G760" s="1259"/>
      <c r="H760" s="1259"/>
      <c r="I760" s="1259"/>
      <c r="J760" s="1259"/>
      <c r="K760" s="1259"/>
      <c r="L760" s="1259"/>
      <c r="M760" s="1259"/>
      <c r="N760" s="1259"/>
      <c r="O760" s="1259"/>
      <c r="P760" s="1259"/>
      <c r="Q760" s="1259"/>
      <c r="R760" s="1259"/>
      <c r="S760" s="1259"/>
      <c r="T760" s="1259"/>
      <c r="U760" s="1259"/>
      <c r="V760" s="1259"/>
      <c r="W760" s="1259"/>
      <c r="X760" s="1259"/>
      <c r="Y760" s="1259"/>
      <c r="Z760" s="1259"/>
    </row>
    <row r="761" spans="1:26" ht="15.75" customHeight="1">
      <c r="A761" s="1259"/>
      <c r="B761" s="1259"/>
      <c r="C761" s="1259"/>
      <c r="D761" s="1259"/>
      <c r="E761" s="1259"/>
      <c r="F761" s="1259"/>
      <c r="G761" s="1259"/>
      <c r="H761" s="1259"/>
      <c r="I761" s="1259"/>
      <c r="J761" s="1259"/>
      <c r="K761" s="1259"/>
      <c r="L761" s="1259"/>
      <c r="M761" s="1259"/>
      <c r="N761" s="1259"/>
      <c r="O761" s="1259"/>
      <c r="P761" s="1259"/>
      <c r="Q761" s="1259"/>
      <c r="R761" s="1259"/>
      <c r="S761" s="1259"/>
      <c r="T761" s="1259"/>
      <c r="U761" s="1259"/>
      <c r="V761" s="1259"/>
      <c r="W761" s="1259"/>
      <c r="X761" s="1259"/>
      <c r="Y761" s="1259"/>
      <c r="Z761" s="1259"/>
    </row>
    <row r="762" spans="1:26" ht="15.75" customHeight="1">
      <c r="A762" s="1259"/>
      <c r="B762" s="1259"/>
      <c r="C762" s="1259"/>
      <c r="D762" s="1259"/>
      <c r="E762" s="1259"/>
      <c r="F762" s="1259"/>
      <c r="G762" s="1259"/>
      <c r="H762" s="1259"/>
      <c r="I762" s="1259"/>
      <c r="J762" s="1259"/>
      <c r="K762" s="1259"/>
      <c r="L762" s="1259"/>
      <c r="M762" s="1259"/>
      <c r="N762" s="1259"/>
      <c r="O762" s="1259"/>
      <c r="P762" s="1259"/>
      <c r="Q762" s="1259"/>
      <c r="R762" s="1259"/>
      <c r="S762" s="1259"/>
      <c r="T762" s="1259"/>
      <c r="U762" s="1259"/>
      <c r="V762" s="1259"/>
      <c r="W762" s="1259"/>
      <c r="X762" s="1259"/>
      <c r="Y762" s="1259"/>
      <c r="Z762" s="1259"/>
    </row>
    <row r="763" spans="1:26" ht="15.75" customHeight="1">
      <c r="A763" s="1259"/>
      <c r="B763" s="1259"/>
      <c r="C763" s="1259"/>
      <c r="D763" s="1259"/>
      <c r="E763" s="1259"/>
      <c r="F763" s="1259"/>
      <c r="G763" s="1259"/>
      <c r="H763" s="1259"/>
      <c r="I763" s="1259"/>
      <c r="J763" s="1259"/>
      <c r="K763" s="1259"/>
      <c r="L763" s="1259"/>
      <c r="M763" s="1259"/>
      <c r="N763" s="1259"/>
      <c r="O763" s="1259"/>
      <c r="P763" s="1259"/>
      <c r="Q763" s="1259"/>
      <c r="R763" s="1259"/>
      <c r="S763" s="1259"/>
      <c r="T763" s="1259"/>
      <c r="U763" s="1259"/>
      <c r="V763" s="1259"/>
      <c r="W763" s="1259"/>
      <c r="X763" s="1259"/>
      <c r="Y763" s="1259"/>
      <c r="Z763" s="1259"/>
    </row>
    <row r="764" spans="1:26" ht="15.75" customHeight="1">
      <c r="A764" s="1259"/>
      <c r="B764" s="1259"/>
      <c r="C764" s="1259"/>
      <c r="D764" s="1259"/>
      <c r="E764" s="1259"/>
      <c r="F764" s="1259"/>
      <c r="G764" s="1259"/>
      <c r="H764" s="1259"/>
      <c r="I764" s="1259"/>
      <c r="J764" s="1259"/>
      <c r="K764" s="1259"/>
      <c r="L764" s="1259"/>
      <c r="M764" s="1259"/>
      <c r="N764" s="1259"/>
      <c r="O764" s="1259"/>
      <c r="P764" s="1259"/>
      <c r="Q764" s="1259"/>
      <c r="R764" s="1259"/>
      <c r="S764" s="1259"/>
      <c r="T764" s="1259"/>
      <c r="U764" s="1259"/>
      <c r="V764" s="1259"/>
      <c r="W764" s="1259"/>
      <c r="X764" s="1259"/>
      <c r="Y764" s="1259"/>
      <c r="Z764" s="1259"/>
    </row>
    <row r="765" spans="1:26" ht="15.75" customHeight="1">
      <c r="A765" s="1259"/>
      <c r="B765" s="1259"/>
      <c r="C765" s="1259"/>
      <c r="D765" s="1259"/>
      <c r="E765" s="1259"/>
      <c r="F765" s="1259"/>
      <c r="G765" s="1259"/>
      <c r="H765" s="1259"/>
      <c r="I765" s="1259"/>
      <c r="J765" s="1259"/>
      <c r="K765" s="1259"/>
      <c r="L765" s="1259"/>
      <c r="M765" s="1259"/>
      <c r="N765" s="1259"/>
      <c r="O765" s="1259"/>
      <c r="P765" s="1259"/>
      <c r="Q765" s="1259"/>
      <c r="R765" s="1259"/>
      <c r="S765" s="1259"/>
      <c r="T765" s="1259"/>
      <c r="U765" s="1259"/>
      <c r="V765" s="1259"/>
      <c r="W765" s="1259"/>
      <c r="X765" s="1259"/>
      <c r="Y765" s="1259"/>
      <c r="Z765" s="1259"/>
    </row>
    <row r="766" spans="1:26" ht="15.75" customHeight="1">
      <c r="A766" s="1259"/>
      <c r="B766" s="1259"/>
      <c r="C766" s="1259"/>
      <c r="D766" s="1259"/>
      <c r="E766" s="1259"/>
      <c r="F766" s="1259"/>
      <c r="G766" s="1259"/>
      <c r="H766" s="1259"/>
      <c r="I766" s="1259"/>
      <c r="J766" s="1259"/>
      <c r="K766" s="1259"/>
      <c r="L766" s="1259"/>
      <c r="M766" s="1259"/>
      <c r="N766" s="1259"/>
      <c r="O766" s="1259"/>
      <c r="P766" s="1259"/>
      <c r="Q766" s="1259"/>
      <c r="R766" s="1259"/>
      <c r="S766" s="1259"/>
      <c r="T766" s="1259"/>
      <c r="U766" s="1259"/>
      <c r="V766" s="1259"/>
      <c r="W766" s="1259"/>
      <c r="X766" s="1259"/>
      <c r="Y766" s="1259"/>
      <c r="Z766" s="1259"/>
    </row>
    <row r="767" spans="1:26" ht="15.75" customHeight="1">
      <c r="A767" s="1259"/>
      <c r="B767" s="1259"/>
      <c r="C767" s="1259"/>
      <c r="D767" s="1259"/>
      <c r="E767" s="1259"/>
      <c r="F767" s="1259"/>
      <c r="G767" s="1259"/>
      <c r="H767" s="1259"/>
      <c r="I767" s="1259"/>
      <c r="J767" s="1259"/>
      <c r="K767" s="1259"/>
      <c r="L767" s="1259"/>
      <c r="M767" s="1259"/>
      <c r="N767" s="1259"/>
      <c r="O767" s="1259"/>
      <c r="P767" s="1259"/>
      <c r="Q767" s="1259"/>
      <c r="R767" s="1259"/>
      <c r="S767" s="1259"/>
      <c r="T767" s="1259"/>
      <c r="U767" s="1259"/>
      <c r="V767" s="1259"/>
      <c r="W767" s="1259"/>
      <c r="X767" s="1259"/>
      <c r="Y767" s="1259"/>
      <c r="Z767" s="1259"/>
    </row>
    <row r="768" spans="1:26" ht="15.75" customHeight="1">
      <c r="A768" s="1259"/>
      <c r="B768" s="1259"/>
      <c r="C768" s="1259"/>
      <c r="D768" s="1259"/>
      <c r="E768" s="1259"/>
      <c r="F768" s="1259"/>
      <c r="G768" s="1259"/>
      <c r="H768" s="1259"/>
      <c r="I768" s="1259"/>
      <c r="J768" s="1259"/>
      <c r="K768" s="1259"/>
      <c r="L768" s="1259"/>
      <c r="M768" s="1259"/>
      <c r="N768" s="1259"/>
      <c r="O768" s="1259"/>
      <c r="P768" s="1259"/>
      <c r="Q768" s="1259"/>
      <c r="R768" s="1259"/>
      <c r="S768" s="1259"/>
      <c r="T768" s="1259"/>
      <c r="U768" s="1259"/>
      <c r="V768" s="1259"/>
      <c r="W768" s="1259"/>
      <c r="X768" s="1259"/>
      <c r="Y768" s="1259"/>
      <c r="Z768" s="1259"/>
    </row>
    <row r="769" spans="1:26" ht="15.75" customHeight="1">
      <c r="A769" s="1259"/>
      <c r="B769" s="1259"/>
      <c r="C769" s="1259"/>
      <c r="D769" s="1259"/>
      <c r="E769" s="1259"/>
      <c r="F769" s="1259"/>
      <c r="G769" s="1259"/>
      <c r="H769" s="1259"/>
      <c r="I769" s="1259"/>
      <c r="J769" s="1259"/>
      <c r="K769" s="1259"/>
      <c r="L769" s="1259"/>
      <c r="M769" s="1259"/>
      <c r="N769" s="1259"/>
      <c r="O769" s="1259"/>
      <c r="P769" s="1259"/>
      <c r="Q769" s="1259"/>
      <c r="R769" s="1259"/>
      <c r="S769" s="1259"/>
      <c r="T769" s="1259"/>
      <c r="U769" s="1259"/>
      <c r="V769" s="1259"/>
      <c r="W769" s="1259"/>
      <c r="X769" s="1259"/>
      <c r="Y769" s="1259"/>
      <c r="Z769" s="1259"/>
    </row>
    <row r="770" spans="1:26" ht="15.75" customHeight="1">
      <c r="A770" s="1259"/>
      <c r="B770" s="1259"/>
      <c r="C770" s="1259"/>
      <c r="D770" s="1259"/>
      <c r="E770" s="1259"/>
      <c r="F770" s="1259"/>
      <c r="G770" s="1259"/>
      <c r="H770" s="1259"/>
      <c r="I770" s="1259"/>
      <c r="J770" s="1259"/>
      <c r="K770" s="1259"/>
      <c r="L770" s="1259"/>
      <c r="M770" s="1259"/>
      <c r="N770" s="1259"/>
      <c r="O770" s="1259"/>
      <c r="P770" s="1259"/>
      <c r="Q770" s="1259"/>
      <c r="R770" s="1259"/>
      <c r="S770" s="1259"/>
      <c r="T770" s="1259"/>
      <c r="U770" s="1259"/>
      <c r="V770" s="1259"/>
      <c r="W770" s="1259"/>
      <c r="X770" s="1259"/>
      <c r="Y770" s="1259"/>
      <c r="Z770" s="1259"/>
    </row>
    <row r="771" spans="1:26" ht="15.75" customHeight="1">
      <c r="A771" s="1259"/>
      <c r="B771" s="1259"/>
      <c r="C771" s="1259"/>
      <c r="D771" s="1259"/>
      <c r="E771" s="1259"/>
      <c r="F771" s="1259"/>
      <c r="G771" s="1259"/>
      <c r="H771" s="1259"/>
      <c r="I771" s="1259"/>
      <c r="J771" s="1259"/>
      <c r="K771" s="1259"/>
      <c r="L771" s="1259"/>
      <c r="M771" s="1259"/>
      <c r="N771" s="1259"/>
      <c r="O771" s="1259"/>
      <c r="P771" s="1259"/>
      <c r="Q771" s="1259"/>
      <c r="R771" s="1259"/>
      <c r="S771" s="1259"/>
      <c r="T771" s="1259"/>
      <c r="U771" s="1259"/>
      <c r="V771" s="1259"/>
      <c r="W771" s="1259"/>
      <c r="X771" s="1259"/>
      <c r="Y771" s="1259"/>
      <c r="Z771" s="1259"/>
    </row>
    <row r="772" spans="1:26" ht="15.75" customHeight="1">
      <c r="A772" s="1259"/>
      <c r="B772" s="1259"/>
      <c r="C772" s="1259"/>
      <c r="D772" s="1259"/>
      <c r="E772" s="1259"/>
      <c r="F772" s="1259"/>
      <c r="G772" s="1259"/>
      <c r="H772" s="1259"/>
      <c r="I772" s="1259"/>
      <c r="J772" s="1259"/>
      <c r="K772" s="1259"/>
      <c r="L772" s="1259"/>
      <c r="M772" s="1259"/>
      <c r="N772" s="1259"/>
      <c r="O772" s="1259"/>
      <c r="P772" s="1259"/>
      <c r="Q772" s="1259"/>
      <c r="R772" s="1259"/>
      <c r="S772" s="1259"/>
      <c r="T772" s="1259"/>
      <c r="U772" s="1259"/>
      <c r="V772" s="1259"/>
      <c r="W772" s="1259"/>
      <c r="X772" s="1259"/>
      <c r="Y772" s="1259"/>
      <c r="Z772" s="1259"/>
    </row>
    <row r="773" spans="1:26" ht="15.75" customHeight="1">
      <c r="A773" s="1259"/>
      <c r="B773" s="1259"/>
      <c r="C773" s="1259"/>
      <c r="D773" s="1259"/>
      <c r="E773" s="1259"/>
      <c r="F773" s="1259"/>
      <c r="G773" s="1259"/>
      <c r="H773" s="1259"/>
      <c r="I773" s="1259"/>
      <c r="J773" s="1259"/>
      <c r="K773" s="1259"/>
      <c r="L773" s="1259"/>
      <c r="M773" s="1259"/>
      <c r="N773" s="1259"/>
      <c r="O773" s="1259"/>
      <c r="P773" s="1259"/>
      <c r="Q773" s="1259"/>
      <c r="R773" s="1259"/>
      <c r="S773" s="1259"/>
      <c r="T773" s="1259"/>
      <c r="U773" s="1259"/>
      <c r="V773" s="1259"/>
      <c r="W773" s="1259"/>
      <c r="X773" s="1259"/>
      <c r="Y773" s="1259"/>
      <c r="Z773" s="1259"/>
    </row>
    <row r="774" spans="1:26" ht="15.75" customHeight="1">
      <c r="A774" s="1259"/>
      <c r="B774" s="1259"/>
      <c r="C774" s="1259"/>
      <c r="D774" s="1259"/>
      <c r="E774" s="1259"/>
      <c r="F774" s="1259"/>
      <c r="G774" s="1259"/>
      <c r="H774" s="1259"/>
      <c r="I774" s="1259"/>
      <c r="J774" s="1259"/>
      <c r="K774" s="1259"/>
      <c r="L774" s="1259"/>
      <c r="M774" s="1259"/>
      <c r="N774" s="1259"/>
      <c r="O774" s="1259"/>
      <c r="P774" s="1259"/>
      <c r="Q774" s="1259"/>
      <c r="R774" s="1259"/>
      <c r="S774" s="1259"/>
      <c r="T774" s="1259"/>
      <c r="U774" s="1259"/>
      <c r="V774" s="1259"/>
      <c r="W774" s="1259"/>
      <c r="X774" s="1259"/>
      <c r="Y774" s="1259"/>
      <c r="Z774" s="1259"/>
    </row>
    <row r="775" spans="1:26" ht="15.75" customHeight="1">
      <c r="A775" s="1259"/>
      <c r="B775" s="1259"/>
      <c r="C775" s="1259"/>
      <c r="D775" s="1259"/>
      <c r="E775" s="1259"/>
      <c r="F775" s="1259"/>
      <c r="G775" s="1259"/>
      <c r="H775" s="1259"/>
      <c r="I775" s="1259"/>
      <c r="J775" s="1259"/>
      <c r="K775" s="1259"/>
      <c r="L775" s="1259"/>
      <c r="M775" s="1259"/>
      <c r="N775" s="1259"/>
      <c r="O775" s="1259"/>
      <c r="P775" s="1259"/>
      <c r="Q775" s="1259"/>
      <c r="R775" s="1259"/>
      <c r="S775" s="1259"/>
      <c r="T775" s="1259"/>
      <c r="U775" s="1259"/>
      <c r="V775" s="1259"/>
      <c r="W775" s="1259"/>
      <c r="X775" s="1259"/>
      <c r="Y775" s="1259"/>
      <c r="Z775" s="1259"/>
    </row>
    <row r="776" spans="1:26" ht="15.75" customHeight="1">
      <c r="A776" s="1259"/>
      <c r="B776" s="1259"/>
      <c r="C776" s="1259"/>
      <c r="D776" s="1259"/>
      <c r="E776" s="1259"/>
      <c r="F776" s="1259"/>
      <c r="G776" s="1259"/>
      <c r="H776" s="1259"/>
      <c r="I776" s="1259"/>
      <c r="J776" s="1259"/>
      <c r="K776" s="1259"/>
      <c r="L776" s="1259"/>
      <c r="M776" s="1259"/>
      <c r="N776" s="1259"/>
      <c r="O776" s="1259"/>
      <c r="P776" s="1259"/>
      <c r="Q776" s="1259"/>
      <c r="R776" s="1259"/>
      <c r="S776" s="1259"/>
      <c r="T776" s="1259"/>
      <c r="U776" s="1259"/>
      <c r="V776" s="1259"/>
      <c r="W776" s="1259"/>
      <c r="X776" s="1259"/>
      <c r="Y776" s="1259"/>
      <c r="Z776" s="1259"/>
    </row>
    <row r="777" spans="1:26" ht="15.75" customHeight="1">
      <c r="A777" s="1259"/>
      <c r="B777" s="1259"/>
      <c r="C777" s="1259"/>
      <c r="D777" s="1259"/>
      <c r="E777" s="1259"/>
      <c r="F777" s="1259"/>
      <c r="G777" s="1259"/>
      <c r="H777" s="1259"/>
      <c r="I777" s="1259"/>
      <c r="J777" s="1259"/>
      <c r="K777" s="1259"/>
      <c r="L777" s="1259"/>
      <c r="M777" s="1259"/>
      <c r="N777" s="1259"/>
      <c r="O777" s="1259"/>
      <c r="P777" s="1259"/>
      <c r="Q777" s="1259"/>
      <c r="R777" s="1259"/>
      <c r="S777" s="1259"/>
      <c r="T777" s="1259"/>
      <c r="U777" s="1259"/>
      <c r="V777" s="1259"/>
      <c r="W777" s="1259"/>
      <c r="X777" s="1259"/>
      <c r="Y777" s="1259"/>
      <c r="Z777" s="1259"/>
    </row>
    <row r="778" spans="1:26" ht="15.75" customHeight="1">
      <c r="A778" s="1259"/>
      <c r="B778" s="1259"/>
      <c r="C778" s="1259"/>
      <c r="D778" s="1259"/>
      <c r="E778" s="1259"/>
      <c r="F778" s="1259"/>
      <c r="G778" s="1259"/>
      <c r="H778" s="1259"/>
      <c r="I778" s="1259"/>
      <c r="J778" s="1259"/>
      <c r="K778" s="1259"/>
      <c r="L778" s="1259"/>
      <c r="M778" s="1259"/>
      <c r="N778" s="1259"/>
      <c r="O778" s="1259"/>
      <c r="P778" s="1259"/>
      <c r="Q778" s="1259"/>
      <c r="R778" s="1259"/>
      <c r="S778" s="1259"/>
      <c r="T778" s="1259"/>
      <c r="U778" s="1259"/>
      <c r="V778" s="1259"/>
      <c r="W778" s="1259"/>
      <c r="X778" s="1259"/>
      <c r="Y778" s="1259"/>
      <c r="Z778" s="1259"/>
    </row>
    <row r="779" spans="1:26" ht="15.75" customHeight="1">
      <c r="A779" s="1259"/>
      <c r="B779" s="1259"/>
      <c r="C779" s="1259"/>
      <c r="D779" s="1259"/>
      <c r="E779" s="1259"/>
      <c r="F779" s="1259"/>
      <c r="G779" s="1259"/>
      <c r="H779" s="1259"/>
      <c r="I779" s="1259"/>
      <c r="J779" s="1259"/>
      <c r="K779" s="1259"/>
      <c r="L779" s="1259"/>
      <c r="M779" s="1259"/>
      <c r="N779" s="1259"/>
      <c r="O779" s="1259"/>
      <c r="P779" s="1259"/>
      <c r="Q779" s="1259"/>
      <c r="R779" s="1259"/>
      <c r="S779" s="1259"/>
      <c r="T779" s="1259"/>
      <c r="U779" s="1259"/>
      <c r="V779" s="1259"/>
      <c r="W779" s="1259"/>
      <c r="X779" s="1259"/>
      <c r="Y779" s="1259"/>
      <c r="Z779" s="1259"/>
    </row>
    <row r="780" spans="1:26" ht="15.75" customHeight="1">
      <c r="A780" s="1259"/>
      <c r="B780" s="1259"/>
      <c r="C780" s="1259"/>
      <c r="D780" s="1259"/>
      <c r="E780" s="1259"/>
      <c r="F780" s="1259"/>
      <c r="G780" s="1259"/>
      <c r="H780" s="1259"/>
      <c r="I780" s="1259"/>
      <c r="J780" s="1259"/>
      <c r="K780" s="1259"/>
      <c r="L780" s="1259"/>
      <c r="M780" s="1259"/>
      <c r="N780" s="1259"/>
      <c r="O780" s="1259"/>
      <c r="P780" s="1259"/>
      <c r="Q780" s="1259"/>
      <c r="R780" s="1259"/>
      <c r="S780" s="1259"/>
      <c r="T780" s="1259"/>
      <c r="U780" s="1259"/>
      <c r="V780" s="1259"/>
      <c r="W780" s="1259"/>
      <c r="X780" s="1259"/>
      <c r="Y780" s="1259"/>
      <c r="Z780" s="1259"/>
    </row>
    <row r="781" spans="1:26" ht="15.75" customHeight="1">
      <c r="A781" s="1259"/>
      <c r="B781" s="1259"/>
      <c r="C781" s="1259"/>
      <c r="D781" s="1259"/>
      <c r="E781" s="1259"/>
      <c r="F781" s="1259"/>
      <c r="G781" s="1259"/>
      <c r="H781" s="1259"/>
      <c r="I781" s="1259"/>
      <c r="J781" s="1259"/>
      <c r="K781" s="1259"/>
      <c r="L781" s="1259"/>
      <c r="M781" s="1259"/>
      <c r="N781" s="1259"/>
      <c r="O781" s="1259"/>
      <c r="P781" s="1259"/>
      <c r="Q781" s="1259"/>
      <c r="R781" s="1259"/>
      <c r="S781" s="1259"/>
      <c r="T781" s="1259"/>
      <c r="U781" s="1259"/>
      <c r="V781" s="1259"/>
      <c r="W781" s="1259"/>
      <c r="X781" s="1259"/>
      <c r="Y781" s="1259"/>
      <c r="Z781" s="1259"/>
    </row>
    <row r="782" spans="1:26" ht="15.75" customHeight="1">
      <c r="A782" s="1259"/>
      <c r="B782" s="1259"/>
      <c r="C782" s="1259"/>
      <c r="D782" s="1259"/>
      <c r="E782" s="1259"/>
      <c r="F782" s="1259"/>
      <c r="G782" s="1259"/>
      <c r="H782" s="1259"/>
      <c r="I782" s="1259"/>
      <c r="J782" s="1259"/>
      <c r="K782" s="1259"/>
      <c r="L782" s="1259"/>
      <c r="M782" s="1259"/>
      <c r="N782" s="1259"/>
      <c r="O782" s="1259"/>
      <c r="P782" s="1259"/>
      <c r="Q782" s="1259"/>
      <c r="R782" s="1259"/>
      <c r="S782" s="1259"/>
      <c r="T782" s="1259"/>
      <c r="U782" s="1259"/>
      <c r="V782" s="1259"/>
      <c r="W782" s="1259"/>
      <c r="X782" s="1259"/>
      <c r="Y782" s="1259"/>
      <c r="Z782" s="1259"/>
    </row>
    <row r="783" spans="1:26" ht="15.75" customHeight="1">
      <c r="A783" s="1259"/>
      <c r="B783" s="1259"/>
      <c r="C783" s="1259"/>
      <c r="D783" s="1259"/>
      <c r="E783" s="1259"/>
      <c r="F783" s="1259"/>
      <c r="G783" s="1259"/>
      <c r="H783" s="1259"/>
      <c r="I783" s="1259"/>
      <c r="J783" s="1259"/>
      <c r="K783" s="1259"/>
      <c r="L783" s="1259"/>
      <c r="M783" s="1259"/>
      <c r="N783" s="1259"/>
      <c r="O783" s="1259"/>
      <c r="P783" s="1259"/>
      <c r="Q783" s="1259"/>
      <c r="R783" s="1259"/>
      <c r="S783" s="1259"/>
      <c r="T783" s="1259"/>
      <c r="U783" s="1259"/>
      <c r="V783" s="1259"/>
      <c r="W783" s="1259"/>
      <c r="X783" s="1259"/>
      <c r="Y783" s="1259"/>
      <c r="Z783" s="1259"/>
    </row>
    <row r="784" spans="1:26" ht="15.75" customHeight="1">
      <c r="A784" s="1259"/>
      <c r="B784" s="1259"/>
      <c r="C784" s="1259"/>
      <c r="D784" s="1259"/>
      <c r="E784" s="1259"/>
      <c r="F784" s="1259"/>
      <c r="G784" s="1259"/>
      <c r="H784" s="1259"/>
      <c r="I784" s="1259"/>
      <c r="J784" s="1259"/>
      <c r="K784" s="1259"/>
      <c r="L784" s="1259"/>
      <c r="M784" s="1259"/>
      <c r="N784" s="1259"/>
      <c r="O784" s="1259"/>
      <c r="P784" s="1259"/>
      <c r="Q784" s="1259"/>
      <c r="R784" s="1259"/>
      <c r="S784" s="1259"/>
      <c r="T784" s="1259"/>
      <c r="U784" s="1259"/>
      <c r="V784" s="1259"/>
      <c r="W784" s="1259"/>
      <c r="X784" s="1259"/>
      <c r="Y784" s="1259"/>
      <c r="Z784" s="1259"/>
    </row>
    <row r="785" spans="1:26" ht="15.75" customHeight="1">
      <c r="A785" s="1259"/>
      <c r="B785" s="1259"/>
      <c r="C785" s="1259"/>
      <c r="D785" s="1259"/>
      <c r="E785" s="1259"/>
      <c r="F785" s="1259"/>
      <c r="G785" s="1259"/>
      <c r="H785" s="1259"/>
      <c r="I785" s="1259"/>
      <c r="J785" s="1259"/>
      <c r="K785" s="1259"/>
      <c r="L785" s="1259"/>
      <c r="M785" s="1259"/>
      <c r="N785" s="1259"/>
      <c r="O785" s="1259"/>
      <c r="P785" s="1259"/>
      <c r="Q785" s="1259"/>
      <c r="R785" s="1259"/>
      <c r="S785" s="1259"/>
      <c r="T785" s="1259"/>
      <c r="U785" s="1259"/>
      <c r="V785" s="1259"/>
      <c r="W785" s="1259"/>
      <c r="X785" s="1259"/>
      <c r="Y785" s="1259"/>
      <c r="Z785" s="1259"/>
    </row>
    <row r="786" spans="1:26" ht="15.75" customHeight="1">
      <c r="A786" s="1259"/>
      <c r="B786" s="1259"/>
      <c r="C786" s="1259"/>
      <c r="D786" s="1259"/>
      <c r="E786" s="1259"/>
      <c r="F786" s="1259"/>
      <c r="G786" s="1259"/>
      <c r="H786" s="1259"/>
      <c r="I786" s="1259"/>
      <c r="J786" s="1259"/>
      <c r="K786" s="1259"/>
      <c r="L786" s="1259"/>
      <c r="M786" s="1259"/>
      <c r="N786" s="1259"/>
      <c r="O786" s="1259"/>
      <c r="P786" s="1259"/>
      <c r="Q786" s="1259"/>
      <c r="R786" s="1259"/>
      <c r="S786" s="1259"/>
      <c r="T786" s="1259"/>
      <c r="U786" s="1259"/>
      <c r="V786" s="1259"/>
      <c r="W786" s="1259"/>
      <c r="X786" s="1259"/>
      <c r="Y786" s="1259"/>
      <c r="Z786" s="1259"/>
    </row>
    <row r="787" spans="1:26" ht="15.75" customHeight="1">
      <c r="A787" s="1259"/>
      <c r="B787" s="1259"/>
      <c r="C787" s="1259"/>
      <c r="D787" s="1259"/>
      <c r="E787" s="1259"/>
      <c r="F787" s="1259"/>
      <c r="G787" s="1259"/>
      <c r="H787" s="1259"/>
      <c r="I787" s="1259"/>
      <c r="J787" s="1259"/>
      <c r="K787" s="1259"/>
      <c r="L787" s="1259"/>
      <c r="M787" s="1259"/>
      <c r="N787" s="1259"/>
      <c r="O787" s="1259"/>
      <c r="P787" s="1259"/>
      <c r="Q787" s="1259"/>
      <c r="R787" s="1259"/>
      <c r="S787" s="1259"/>
      <c r="T787" s="1259"/>
      <c r="U787" s="1259"/>
      <c r="V787" s="1259"/>
      <c r="W787" s="1259"/>
      <c r="X787" s="1259"/>
      <c r="Y787" s="1259"/>
      <c r="Z787" s="1259"/>
    </row>
    <row r="788" spans="1:26" ht="15.75" customHeight="1">
      <c r="A788" s="1259"/>
      <c r="B788" s="1259"/>
      <c r="C788" s="1259"/>
      <c r="D788" s="1259"/>
      <c r="E788" s="1259"/>
      <c r="F788" s="1259"/>
      <c r="G788" s="1259"/>
      <c r="H788" s="1259"/>
      <c r="I788" s="1259"/>
      <c r="J788" s="1259"/>
      <c r="K788" s="1259"/>
      <c r="L788" s="1259"/>
      <c r="M788" s="1259"/>
      <c r="N788" s="1259"/>
      <c r="O788" s="1259"/>
      <c r="P788" s="1259"/>
      <c r="Q788" s="1259"/>
      <c r="R788" s="1259"/>
      <c r="S788" s="1259"/>
      <c r="T788" s="1259"/>
      <c r="U788" s="1259"/>
      <c r="V788" s="1259"/>
      <c r="W788" s="1259"/>
      <c r="X788" s="1259"/>
      <c r="Y788" s="1259"/>
      <c r="Z788" s="1259"/>
    </row>
    <row r="789" spans="1:26" ht="15.75" customHeight="1">
      <c r="A789" s="1259"/>
      <c r="B789" s="1259"/>
      <c r="C789" s="1259"/>
      <c r="D789" s="1259"/>
      <c r="E789" s="1259"/>
      <c r="F789" s="1259"/>
      <c r="G789" s="1259"/>
      <c r="H789" s="1259"/>
      <c r="I789" s="1259"/>
      <c r="J789" s="1259"/>
      <c r="K789" s="1259"/>
      <c r="L789" s="1259"/>
      <c r="M789" s="1259"/>
      <c r="N789" s="1259"/>
      <c r="O789" s="1259"/>
      <c r="P789" s="1259"/>
      <c r="Q789" s="1259"/>
      <c r="R789" s="1259"/>
      <c r="S789" s="1259"/>
      <c r="T789" s="1259"/>
      <c r="U789" s="1259"/>
      <c r="V789" s="1259"/>
      <c r="W789" s="1259"/>
      <c r="X789" s="1259"/>
      <c r="Y789" s="1259"/>
      <c r="Z789" s="1259"/>
    </row>
    <row r="790" spans="1:26" ht="15.75" customHeight="1">
      <c r="A790" s="1259"/>
      <c r="B790" s="1259"/>
      <c r="C790" s="1259"/>
      <c r="D790" s="1259"/>
      <c r="E790" s="1259"/>
      <c r="F790" s="1259"/>
      <c r="G790" s="1259"/>
      <c r="H790" s="1259"/>
      <c r="I790" s="1259"/>
      <c r="J790" s="1259"/>
      <c r="K790" s="1259"/>
      <c r="L790" s="1259"/>
      <c r="M790" s="1259"/>
      <c r="N790" s="1259"/>
      <c r="O790" s="1259"/>
      <c r="P790" s="1259"/>
      <c r="Q790" s="1259"/>
      <c r="R790" s="1259"/>
      <c r="S790" s="1259"/>
      <c r="T790" s="1259"/>
      <c r="U790" s="1259"/>
      <c r="V790" s="1259"/>
      <c r="W790" s="1259"/>
      <c r="X790" s="1259"/>
      <c r="Y790" s="1259"/>
      <c r="Z790" s="1259"/>
    </row>
    <row r="791" spans="1:26" ht="15.75" customHeight="1">
      <c r="A791" s="1259"/>
      <c r="B791" s="1259"/>
      <c r="C791" s="1259"/>
      <c r="D791" s="1259"/>
      <c r="E791" s="1259"/>
      <c r="F791" s="1259"/>
      <c r="G791" s="1259"/>
      <c r="H791" s="1259"/>
      <c r="I791" s="1259"/>
      <c r="J791" s="1259"/>
      <c r="K791" s="1259"/>
      <c r="L791" s="1259"/>
      <c r="M791" s="1259"/>
      <c r="N791" s="1259"/>
      <c r="O791" s="1259"/>
      <c r="P791" s="1259"/>
      <c r="Q791" s="1259"/>
      <c r="R791" s="1259"/>
      <c r="S791" s="1259"/>
      <c r="T791" s="1259"/>
      <c r="U791" s="1259"/>
      <c r="V791" s="1259"/>
      <c r="W791" s="1259"/>
      <c r="X791" s="1259"/>
      <c r="Y791" s="1259"/>
      <c r="Z791" s="1259"/>
    </row>
    <row r="792" spans="1:26" ht="15.75" customHeight="1">
      <c r="A792" s="1259"/>
      <c r="B792" s="1259"/>
      <c r="C792" s="1259"/>
      <c r="D792" s="1259"/>
      <c r="E792" s="1259"/>
      <c r="F792" s="1259"/>
      <c r="G792" s="1259"/>
      <c r="H792" s="1259"/>
      <c r="I792" s="1259"/>
      <c r="J792" s="1259"/>
      <c r="K792" s="1259"/>
      <c r="L792" s="1259"/>
      <c r="M792" s="1259"/>
      <c r="N792" s="1259"/>
      <c r="O792" s="1259"/>
      <c r="P792" s="1259"/>
      <c r="Q792" s="1259"/>
      <c r="R792" s="1259"/>
      <c r="S792" s="1259"/>
      <c r="T792" s="1259"/>
      <c r="U792" s="1259"/>
      <c r="V792" s="1259"/>
      <c r="W792" s="1259"/>
      <c r="X792" s="1259"/>
      <c r="Y792" s="1259"/>
      <c r="Z792" s="1259"/>
    </row>
    <row r="793" spans="1:26" ht="15.75" customHeight="1">
      <c r="A793" s="1259"/>
      <c r="B793" s="1259"/>
      <c r="C793" s="1259"/>
      <c r="D793" s="1259"/>
      <c r="E793" s="1259"/>
      <c r="F793" s="1259"/>
      <c r="G793" s="1259"/>
      <c r="H793" s="1259"/>
      <c r="I793" s="1259"/>
      <c r="J793" s="1259"/>
      <c r="K793" s="1259"/>
      <c r="L793" s="1259"/>
      <c r="M793" s="1259"/>
      <c r="N793" s="1259"/>
      <c r="O793" s="1259"/>
      <c r="P793" s="1259"/>
      <c r="Q793" s="1259"/>
      <c r="R793" s="1259"/>
      <c r="S793" s="1259"/>
      <c r="T793" s="1259"/>
      <c r="U793" s="1259"/>
      <c r="V793" s="1259"/>
      <c r="W793" s="1259"/>
      <c r="X793" s="1259"/>
      <c r="Y793" s="1259"/>
      <c r="Z793" s="1259"/>
    </row>
    <row r="794" spans="1:26" ht="15.75" customHeight="1">
      <c r="A794" s="1259"/>
      <c r="B794" s="1259"/>
      <c r="C794" s="1259"/>
      <c r="D794" s="1259"/>
      <c r="E794" s="1259"/>
      <c r="F794" s="1259"/>
      <c r="G794" s="1259"/>
      <c r="H794" s="1259"/>
      <c r="I794" s="1259"/>
      <c r="J794" s="1259"/>
      <c r="K794" s="1259"/>
      <c r="L794" s="1259"/>
      <c r="M794" s="1259"/>
      <c r="N794" s="1259"/>
      <c r="O794" s="1259"/>
      <c r="P794" s="1259"/>
      <c r="Q794" s="1259"/>
      <c r="R794" s="1259"/>
      <c r="S794" s="1259"/>
      <c r="T794" s="1259"/>
      <c r="U794" s="1259"/>
      <c r="V794" s="1259"/>
      <c r="W794" s="1259"/>
      <c r="X794" s="1259"/>
      <c r="Y794" s="1259"/>
      <c r="Z794" s="1259"/>
    </row>
    <row r="795" spans="1:26" ht="15.75" customHeight="1">
      <c r="A795" s="1259"/>
      <c r="B795" s="1259"/>
      <c r="C795" s="1259"/>
      <c r="D795" s="1259"/>
      <c r="E795" s="1259"/>
      <c r="F795" s="1259"/>
      <c r="G795" s="1259"/>
      <c r="H795" s="1259"/>
      <c r="I795" s="1259"/>
      <c r="J795" s="1259"/>
      <c r="K795" s="1259"/>
      <c r="L795" s="1259"/>
      <c r="M795" s="1259"/>
      <c r="N795" s="1259"/>
      <c r="O795" s="1259"/>
      <c r="P795" s="1259"/>
      <c r="Q795" s="1259"/>
      <c r="R795" s="1259"/>
      <c r="S795" s="1259"/>
      <c r="T795" s="1259"/>
      <c r="U795" s="1259"/>
      <c r="V795" s="1259"/>
      <c r="W795" s="1259"/>
      <c r="X795" s="1259"/>
      <c r="Y795" s="1259"/>
      <c r="Z795" s="1259"/>
    </row>
    <row r="796" spans="1:26" ht="15.75" customHeight="1">
      <c r="A796" s="1259"/>
      <c r="B796" s="1259"/>
      <c r="C796" s="1259"/>
      <c r="D796" s="1259"/>
      <c r="E796" s="1259"/>
      <c r="F796" s="1259"/>
      <c r="G796" s="1259"/>
      <c r="H796" s="1259"/>
      <c r="I796" s="1259"/>
      <c r="J796" s="1259"/>
      <c r="K796" s="1259"/>
      <c r="L796" s="1259"/>
      <c r="M796" s="1259"/>
      <c r="N796" s="1259"/>
      <c r="O796" s="1259"/>
      <c r="P796" s="1259"/>
      <c r="Q796" s="1259"/>
      <c r="R796" s="1259"/>
      <c r="S796" s="1259"/>
      <c r="T796" s="1259"/>
      <c r="U796" s="1259"/>
      <c r="V796" s="1259"/>
      <c r="W796" s="1259"/>
      <c r="X796" s="1259"/>
      <c r="Y796" s="1259"/>
      <c r="Z796" s="1259"/>
    </row>
    <row r="797" spans="1:26" ht="15.75" customHeight="1">
      <c r="A797" s="1259"/>
      <c r="B797" s="1259"/>
      <c r="C797" s="1259"/>
      <c r="D797" s="1259"/>
      <c r="E797" s="1259"/>
      <c r="F797" s="1259"/>
      <c r="G797" s="1259"/>
      <c r="H797" s="1259"/>
      <c r="I797" s="1259"/>
      <c r="J797" s="1259"/>
      <c r="K797" s="1259"/>
      <c r="L797" s="1259"/>
      <c r="M797" s="1259"/>
      <c r="N797" s="1259"/>
      <c r="O797" s="1259"/>
      <c r="P797" s="1259"/>
      <c r="Q797" s="1259"/>
      <c r="R797" s="1259"/>
      <c r="S797" s="1259"/>
      <c r="T797" s="1259"/>
      <c r="U797" s="1259"/>
      <c r="V797" s="1259"/>
      <c r="W797" s="1259"/>
      <c r="X797" s="1259"/>
      <c r="Y797" s="1259"/>
      <c r="Z797" s="1259"/>
    </row>
    <row r="798" spans="1:26" ht="15.75" customHeight="1">
      <c r="A798" s="1259"/>
      <c r="B798" s="1259"/>
      <c r="C798" s="1259"/>
      <c r="D798" s="1259"/>
      <c r="E798" s="1259"/>
      <c r="F798" s="1259"/>
      <c r="G798" s="1259"/>
      <c r="H798" s="1259"/>
      <c r="I798" s="1259"/>
      <c r="J798" s="1259"/>
      <c r="K798" s="1259"/>
      <c r="L798" s="1259"/>
      <c r="M798" s="1259"/>
      <c r="N798" s="1259"/>
      <c r="O798" s="1259"/>
      <c r="P798" s="1259"/>
      <c r="Q798" s="1259"/>
      <c r="R798" s="1259"/>
      <c r="S798" s="1259"/>
      <c r="T798" s="1259"/>
      <c r="U798" s="1259"/>
      <c r="V798" s="1259"/>
      <c r="W798" s="1259"/>
      <c r="X798" s="1259"/>
      <c r="Y798" s="1259"/>
      <c r="Z798" s="1259"/>
    </row>
    <row r="799" spans="1:26" ht="15.75" customHeight="1">
      <c r="A799" s="1259"/>
      <c r="B799" s="1259"/>
      <c r="C799" s="1259"/>
      <c r="D799" s="1259"/>
      <c r="E799" s="1259"/>
      <c r="F799" s="1259"/>
      <c r="G799" s="1259"/>
      <c r="H799" s="1259"/>
      <c r="I799" s="1259"/>
      <c r="J799" s="1259"/>
      <c r="K799" s="1259"/>
      <c r="L799" s="1259"/>
      <c r="M799" s="1259"/>
      <c r="N799" s="1259"/>
      <c r="O799" s="1259"/>
      <c r="P799" s="1259"/>
      <c r="Q799" s="1259"/>
      <c r="R799" s="1259"/>
      <c r="S799" s="1259"/>
      <c r="T799" s="1259"/>
      <c r="U799" s="1259"/>
      <c r="V799" s="1259"/>
      <c r="W799" s="1259"/>
      <c r="X799" s="1259"/>
      <c r="Y799" s="1259"/>
      <c r="Z799" s="1259"/>
    </row>
    <row r="800" spans="1:26" ht="15.75" customHeight="1">
      <c r="A800" s="1259"/>
      <c r="B800" s="1259"/>
      <c r="C800" s="1259"/>
      <c r="D800" s="1259"/>
      <c r="E800" s="1259"/>
      <c r="F800" s="1259"/>
      <c r="G800" s="1259"/>
      <c r="H800" s="1259"/>
      <c r="I800" s="1259"/>
      <c r="J800" s="1259"/>
      <c r="K800" s="1259"/>
      <c r="L800" s="1259"/>
      <c r="M800" s="1259"/>
      <c r="N800" s="1259"/>
      <c r="O800" s="1259"/>
      <c r="P800" s="1259"/>
      <c r="Q800" s="1259"/>
      <c r="R800" s="1259"/>
      <c r="S800" s="1259"/>
      <c r="T800" s="1259"/>
      <c r="U800" s="1259"/>
      <c r="V800" s="1259"/>
      <c r="W800" s="1259"/>
      <c r="X800" s="1259"/>
      <c r="Y800" s="1259"/>
      <c r="Z800" s="1259"/>
    </row>
    <row r="801" spans="1:26" ht="15.75" customHeight="1">
      <c r="A801" s="1259"/>
      <c r="B801" s="1259"/>
      <c r="C801" s="1259"/>
      <c r="D801" s="1259"/>
      <c r="E801" s="1259"/>
      <c r="F801" s="1259"/>
      <c r="G801" s="1259"/>
      <c r="H801" s="1259"/>
      <c r="I801" s="1259"/>
      <c r="J801" s="1259"/>
      <c r="K801" s="1259"/>
      <c r="L801" s="1259"/>
      <c r="M801" s="1259"/>
      <c r="N801" s="1259"/>
      <c r="O801" s="1259"/>
      <c r="P801" s="1259"/>
      <c r="Q801" s="1259"/>
      <c r="R801" s="1259"/>
      <c r="S801" s="1259"/>
      <c r="T801" s="1259"/>
      <c r="U801" s="1259"/>
      <c r="V801" s="1259"/>
      <c r="W801" s="1259"/>
      <c r="X801" s="1259"/>
      <c r="Y801" s="1259"/>
      <c r="Z801" s="1259"/>
    </row>
    <row r="802" spans="1:26" ht="15.75" customHeight="1">
      <c r="A802" s="1259"/>
      <c r="B802" s="1259"/>
      <c r="C802" s="1259"/>
      <c r="D802" s="1259"/>
      <c r="E802" s="1259"/>
      <c r="F802" s="1259"/>
      <c r="G802" s="1259"/>
      <c r="H802" s="1259"/>
      <c r="I802" s="1259"/>
      <c r="J802" s="1259"/>
      <c r="K802" s="1259"/>
      <c r="L802" s="1259"/>
      <c r="M802" s="1259"/>
      <c r="N802" s="1259"/>
      <c r="O802" s="1259"/>
      <c r="P802" s="1259"/>
      <c r="Q802" s="1259"/>
      <c r="R802" s="1259"/>
      <c r="S802" s="1259"/>
      <c r="T802" s="1259"/>
      <c r="U802" s="1259"/>
      <c r="V802" s="1259"/>
      <c r="W802" s="1259"/>
      <c r="X802" s="1259"/>
      <c r="Y802" s="1259"/>
      <c r="Z802" s="1259"/>
    </row>
    <row r="803" spans="1:26" ht="15.75" customHeight="1">
      <c r="A803" s="1259"/>
      <c r="B803" s="1259"/>
      <c r="C803" s="1259"/>
      <c r="D803" s="1259"/>
      <c r="E803" s="1259"/>
      <c r="F803" s="1259"/>
      <c r="G803" s="1259"/>
      <c r="H803" s="1259"/>
      <c r="I803" s="1259"/>
      <c r="J803" s="1259"/>
      <c r="K803" s="1259"/>
      <c r="L803" s="1259"/>
      <c r="M803" s="1259"/>
      <c r="N803" s="1259"/>
      <c r="O803" s="1259"/>
      <c r="P803" s="1259"/>
      <c r="Q803" s="1259"/>
      <c r="R803" s="1259"/>
      <c r="S803" s="1259"/>
      <c r="T803" s="1259"/>
      <c r="U803" s="1259"/>
      <c r="V803" s="1259"/>
      <c r="W803" s="1259"/>
      <c r="X803" s="1259"/>
      <c r="Y803" s="1259"/>
      <c r="Z803" s="1259"/>
    </row>
    <row r="804" spans="1:26" ht="15.75" customHeight="1">
      <c r="A804" s="1259"/>
      <c r="B804" s="1259"/>
      <c r="C804" s="1259"/>
      <c r="D804" s="1259"/>
      <c r="E804" s="1259"/>
      <c r="F804" s="1259"/>
      <c r="G804" s="1259"/>
      <c r="H804" s="1259"/>
      <c r="I804" s="1259"/>
      <c r="J804" s="1259"/>
      <c r="K804" s="1259"/>
      <c r="L804" s="1259"/>
      <c r="M804" s="1259"/>
      <c r="N804" s="1259"/>
      <c r="O804" s="1259"/>
      <c r="P804" s="1259"/>
      <c r="Q804" s="1259"/>
      <c r="R804" s="1259"/>
      <c r="S804" s="1259"/>
      <c r="T804" s="1259"/>
      <c r="U804" s="1259"/>
      <c r="V804" s="1259"/>
      <c r="W804" s="1259"/>
      <c r="X804" s="1259"/>
      <c r="Y804" s="1259"/>
      <c r="Z804" s="1259"/>
    </row>
    <row r="805" spans="1:26" ht="15.75" customHeight="1">
      <c r="A805" s="1259"/>
      <c r="B805" s="1259"/>
      <c r="C805" s="1259"/>
      <c r="D805" s="1259"/>
      <c r="E805" s="1259"/>
      <c r="F805" s="1259"/>
      <c r="G805" s="1259"/>
      <c r="H805" s="1259"/>
      <c r="I805" s="1259"/>
      <c r="J805" s="1259"/>
      <c r="K805" s="1259"/>
      <c r="L805" s="1259"/>
      <c r="M805" s="1259"/>
      <c r="N805" s="1259"/>
      <c r="O805" s="1259"/>
      <c r="P805" s="1259"/>
      <c r="Q805" s="1259"/>
      <c r="R805" s="1259"/>
      <c r="S805" s="1259"/>
      <c r="T805" s="1259"/>
      <c r="U805" s="1259"/>
      <c r="V805" s="1259"/>
      <c r="W805" s="1259"/>
      <c r="X805" s="1259"/>
      <c r="Y805" s="1259"/>
      <c r="Z805" s="1259"/>
    </row>
    <row r="806" spans="1:26" ht="15.75" customHeight="1">
      <c r="A806" s="1259"/>
      <c r="B806" s="1259"/>
      <c r="C806" s="1259"/>
      <c r="D806" s="1259"/>
      <c r="E806" s="1259"/>
      <c r="F806" s="1259"/>
      <c r="G806" s="1259"/>
      <c r="H806" s="1259"/>
      <c r="I806" s="1259"/>
      <c r="J806" s="1259"/>
      <c r="K806" s="1259"/>
      <c r="L806" s="1259"/>
      <c r="M806" s="1259"/>
      <c r="N806" s="1259"/>
      <c r="O806" s="1259"/>
      <c r="P806" s="1259"/>
      <c r="Q806" s="1259"/>
      <c r="R806" s="1259"/>
      <c r="S806" s="1259"/>
      <c r="T806" s="1259"/>
      <c r="U806" s="1259"/>
      <c r="V806" s="1259"/>
      <c r="W806" s="1259"/>
      <c r="X806" s="1259"/>
      <c r="Y806" s="1259"/>
      <c r="Z806" s="1259"/>
    </row>
    <row r="807" spans="1:26" ht="15.75" customHeight="1">
      <c r="A807" s="1259"/>
      <c r="B807" s="1259"/>
      <c r="C807" s="1259"/>
      <c r="D807" s="1259"/>
      <c r="E807" s="1259"/>
      <c r="F807" s="1259"/>
      <c r="G807" s="1259"/>
      <c r="H807" s="1259"/>
      <c r="I807" s="1259"/>
      <c r="J807" s="1259"/>
      <c r="K807" s="1259"/>
      <c r="L807" s="1259"/>
      <c r="M807" s="1259"/>
      <c r="N807" s="1259"/>
      <c r="O807" s="1259"/>
      <c r="P807" s="1259"/>
      <c r="Q807" s="1259"/>
      <c r="R807" s="1259"/>
      <c r="S807" s="1259"/>
      <c r="T807" s="1259"/>
      <c r="U807" s="1259"/>
      <c r="V807" s="1259"/>
      <c r="W807" s="1259"/>
      <c r="X807" s="1259"/>
      <c r="Y807" s="1259"/>
      <c r="Z807" s="1259"/>
    </row>
    <row r="808" spans="1:26" ht="15.75" customHeight="1">
      <c r="A808" s="1259"/>
      <c r="B808" s="1259"/>
      <c r="C808" s="1259"/>
      <c r="D808" s="1259"/>
      <c r="E808" s="1259"/>
      <c r="F808" s="1259"/>
      <c r="G808" s="1259"/>
      <c r="H808" s="1259"/>
      <c r="I808" s="1259"/>
      <c r="J808" s="1259"/>
      <c r="K808" s="1259"/>
      <c r="L808" s="1259"/>
      <c r="M808" s="1259"/>
      <c r="N808" s="1259"/>
      <c r="O808" s="1259"/>
      <c r="P808" s="1259"/>
      <c r="Q808" s="1259"/>
      <c r="R808" s="1259"/>
      <c r="S808" s="1259"/>
      <c r="T808" s="1259"/>
      <c r="U808" s="1259"/>
      <c r="V808" s="1259"/>
      <c r="W808" s="1259"/>
      <c r="X808" s="1259"/>
      <c r="Y808" s="1259"/>
      <c r="Z808" s="1259"/>
    </row>
    <row r="809" spans="1:26" ht="15.75" customHeight="1">
      <c r="A809" s="1259"/>
      <c r="B809" s="1259"/>
      <c r="C809" s="1259"/>
      <c r="D809" s="1259"/>
      <c r="E809" s="1259"/>
      <c r="F809" s="1259"/>
      <c r="G809" s="1259"/>
      <c r="H809" s="1259"/>
      <c r="I809" s="1259"/>
      <c r="J809" s="1259"/>
      <c r="K809" s="1259"/>
      <c r="L809" s="1259"/>
      <c r="M809" s="1259"/>
      <c r="N809" s="1259"/>
      <c r="O809" s="1259"/>
      <c r="P809" s="1259"/>
      <c r="Q809" s="1259"/>
      <c r="R809" s="1259"/>
      <c r="S809" s="1259"/>
      <c r="T809" s="1259"/>
      <c r="U809" s="1259"/>
      <c r="V809" s="1259"/>
      <c r="W809" s="1259"/>
      <c r="X809" s="1259"/>
      <c r="Y809" s="1259"/>
      <c r="Z809" s="1259"/>
    </row>
    <row r="810" spans="1:26" ht="15.75" customHeight="1">
      <c r="A810" s="1259"/>
      <c r="B810" s="1259"/>
      <c r="C810" s="1259"/>
      <c r="D810" s="1259"/>
      <c r="E810" s="1259"/>
      <c r="F810" s="1259"/>
      <c r="G810" s="1259"/>
      <c r="H810" s="1259"/>
      <c r="I810" s="1259"/>
      <c r="J810" s="1259"/>
      <c r="K810" s="1259"/>
      <c r="L810" s="1259"/>
      <c r="M810" s="1259"/>
      <c r="N810" s="1259"/>
      <c r="O810" s="1259"/>
      <c r="P810" s="1259"/>
      <c r="Q810" s="1259"/>
      <c r="R810" s="1259"/>
      <c r="S810" s="1259"/>
      <c r="T810" s="1259"/>
      <c r="U810" s="1259"/>
      <c r="V810" s="1259"/>
      <c r="W810" s="1259"/>
      <c r="X810" s="1259"/>
      <c r="Y810" s="1259"/>
      <c r="Z810" s="1259"/>
    </row>
    <row r="811" spans="1:26" ht="15.75" customHeight="1">
      <c r="A811" s="1259"/>
      <c r="B811" s="1259"/>
      <c r="C811" s="1259"/>
      <c r="D811" s="1259"/>
      <c r="E811" s="1259"/>
      <c r="F811" s="1259"/>
      <c r="G811" s="1259"/>
      <c r="H811" s="1259"/>
      <c r="I811" s="1259"/>
      <c r="J811" s="1259"/>
      <c r="K811" s="1259"/>
      <c r="L811" s="1259"/>
      <c r="M811" s="1259"/>
      <c r="N811" s="1259"/>
      <c r="O811" s="1259"/>
      <c r="P811" s="1259"/>
      <c r="Q811" s="1259"/>
      <c r="R811" s="1259"/>
      <c r="S811" s="1259"/>
      <c r="T811" s="1259"/>
      <c r="U811" s="1259"/>
      <c r="V811" s="1259"/>
      <c r="W811" s="1259"/>
      <c r="X811" s="1259"/>
      <c r="Y811" s="1259"/>
      <c r="Z811" s="1259"/>
    </row>
    <row r="812" spans="1:26" ht="15.75" customHeight="1">
      <c r="A812" s="1259"/>
      <c r="B812" s="1259"/>
      <c r="C812" s="1259"/>
      <c r="D812" s="1259"/>
      <c r="E812" s="1259"/>
      <c r="F812" s="1259"/>
      <c r="G812" s="1259"/>
      <c r="H812" s="1259"/>
      <c r="I812" s="1259"/>
      <c r="J812" s="1259"/>
      <c r="K812" s="1259"/>
      <c r="L812" s="1259"/>
      <c r="M812" s="1259"/>
      <c r="N812" s="1259"/>
      <c r="O812" s="1259"/>
      <c r="P812" s="1259"/>
      <c r="Q812" s="1259"/>
      <c r="R812" s="1259"/>
      <c r="S812" s="1259"/>
      <c r="T812" s="1259"/>
      <c r="U812" s="1259"/>
      <c r="V812" s="1259"/>
      <c r="W812" s="1259"/>
      <c r="X812" s="1259"/>
      <c r="Y812" s="1259"/>
      <c r="Z812" s="1259"/>
    </row>
    <row r="813" spans="1:26" ht="15.75" customHeight="1">
      <c r="A813" s="1259"/>
      <c r="B813" s="1259"/>
      <c r="C813" s="1259"/>
      <c r="D813" s="1259"/>
      <c r="E813" s="1259"/>
      <c r="F813" s="1259"/>
      <c r="G813" s="1259"/>
      <c r="H813" s="1259"/>
      <c r="I813" s="1259"/>
      <c r="J813" s="1259"/>
      <c r="K813" s="1259"/>
      <c r="L813" s="1259"/>
      <c r="M813" s="1259"/>
      <c r="N813" s="1259"/>
      <c r="O813" s="1259"/>
      <c r="P813" s="1259"/>
      <c r="Q813" s="1259"/>
      <c r="R813" s="1259"/>
      <c r="S813" s="1259"/>
      <c r="T813" s="1259"/>
      <c r="U813" s="1259"/>
      <c r="V813" s="1259"/>
      <c r="W813" s="1259"/>
      <c r="X813" s="1259"/>
      <c r="Y813" s="1259"/>
      <c r="Z813" s="1259"/>
    </row>
    <row r="814" spans="1:26" ht="15.75" customHeight="1">
      <c r="A814" s="1259"/>
      <c r="B814" s="1259"/>
      <c r="C814" s="1259"/>
      <c r="D814" s="1259"/>
      <c r="E814" s="1259"/>
      <c r="F814" s="1259"/>
      <c r="G814" s="1259"/>
      <c r="H814" s="1259"/>
      <c r="I814" s="1259"/>
      <c r="J814" s="1259"/>
      <c r="K814" s="1259"/>
      <c r="L814" s="1259"/>
      <c r="M814" s="1259"/>
      <c r="N814" s="1259"/>
      <c r="O814" s="1259"/>
      <c r="P814" s="1259"/>
      <c r="Q814" s="1259"/>
      <c r="R814" s="1259"/>
      <c r="S814" s="1259"/>
      <c r="T814" s="1259"/>
      <c r="U814" s="1259"/>
      <c r="V814" s="1259"/>
      <c r="W814" s="1259"/>
      <c r="X814" s="1259"/>
      <c r="Y814" s="1259"/>
      <c r="Z814" s="1259"/>
    </row>
    <row r="815" spans="1:26" ht="15.75" customHeight="1">
      <c r="A815" s="1259"/>
      <c r="B815" s="1259"/>
      <c r="C815" s="1259"/>
      <c r="D815" s="1259"/>
      <c r="E815" s="1259"/>
      <c r="F815" s="1259"/>
      <c r="G815" s="1259"/>
      <c r="H815" s="1259"/>
      <c r="I815" s="1259"/>
      <c r="J815" s="1259"/>
      <c r="K815" s="1259"/>
      <c r="L815" s="1259"/>
      <c r="M815" s="1259"/>
      <c r="N815" s="1259"/>
      <c r="O815" s="1259"/>
      <c r="P815" s="1259"/>
      <c r="Q815" s="1259"/>
      <c r="R815" s="1259"/>
      <c r="S815" s="1259"/>
      <c r="T815" s="1259"/>
      <c r="U815" s="1259"/>
      <c r="V815" s="1259"/>
      <c r="W815" s="1259"/>
      <c r="X815" s="1259"/>
      <c r="Y815" s="1259"/>
      <c r="Z815" s="1259"/>
    </row>
    <row r="816" spans="1:26" ht="15.75" customHeight="1">
      <c r="A816" s="1259"/>
      <c r="B816" s="1259"/>
      <c r="C816" s="1259"/>
      <c r="D816" s="1259"/>
      <c r="E816" s="1259"/>
      <c r="F816" s="1259"/>
      <c r="G816" s="1259"/>
      <c r="H816" s="1259"/>
      <c r="I816" s="1259"/>
      <c r="J816" s="1259"/>
      <c r="K816" s="1259"/>
      <c r="L816" s="1259"/>
      <c r="M816" s="1259"/>
      <c r="N816" s="1259"/>
      <c r="O816" s="1259"/>
      <c r="P816" s="1259"/>
      <c r="Q816" s="1259"/>
      <c r="R816" s="1259"/>
      <c r="S816" s="1259"/>
      <c r="T816" s="1259"/>
      <c r="U816" s="1259"/>
      <c r="V816" s="1259"/>
      <c r="W816" s="1259"/>
      <c r="X816" s="1259"/>
      <c r="Y816" s="1259"/>
      <c r="Z816" s="1259"/>
    </row>
    <row r="817" spans="1:26" ht="15.75" customHeight="1">
      <c r="A817" s="1259"/>
      <c r="B817" s="1259"/>
      <c r="C817" s="1259"/>
      <c r="D817" s="1259"/>
      <c r="E817" s="1259"/>
      <c r="F817" s="1259"/>
      <c r="G817" s="1259"/>
      <c r="H817" s="1259"/>
      <c r="I817" s="1259"/>
      <c r="J817" s="1259"/>
      <c r="K817" s="1259"/>
      <c r="L817" s="1259"/>
      <c r="M817" s="1259"/>
      <c r="N817" s="1259"/>
      <c r="O817" s="1259"/>
      <c r="P817" s="1259"/>
      <c r="Q817" s="1259"/>
      <c r="R817" s="1259"/>
      <c r="S817" s="1259"/>
      <c r="T817" s="1259"/>
      <c r="U817" s="1259"/>
      <c r="V817" s="1259"/>
      <c r="W817" s="1259"/>
      <c r="X817" s="1259"/>
      <c r="Y817" s="1259"/>
      <c r="Z817" s="1259"/>
    </row>
    <row r="818" spans="1:26" ht="15.75" customHeight="1">
      <c r="A818" s="1259"/>
      <c r="B818" s="1259"/>
      <c r="C818" s="1259"/>
      <c r="D818" s="1259"/>
      <c r="E818" s="1259"/>
      <c r="F818" s="1259"/>
      <c r="G818" s="1259"/>
      <c r="H818" s="1259"/>
      <c r="I818" s="1259"/>
      <c r="J818" s="1259"/>
      <c r="K818" s="1259"/>
      <c r="L818" s="1259"/>
      <c r="M818" s="1259"/>
      <c r="N818" s="1259"/>
      <c r="O818" s="1259"/>
      <c r="P818" s="1259"/>
      <c r="Q818" s="1259"/>
      <c r="R818" s="1259"/>
      <c r="S818" s="1259"/>
      <c r="T818" s="1259"/>
      <c r="U818" s="1259"/>
      <c r="V818" s="1259"/>
      <c r="W818" s="1259"/>
      <c r="X818" s="1259"/>
      <c r="Y818" s="1259"/>
      <c r="Z818" s="1259"/>
    </row>
    <row r="819" spans="1:26" ht="15.75" customHeight="1">
      <c r="A819" s="1259"/>
      <c r="B819" s="1259"/>
      <c r="C819" s="1259"/>
      <c r="D819" s="1259"/>
      <c r="E819" s="1259"/>
      <c r="F819" s="1259"/>
      <c r="G819" s="1259"/>
      <c r="H819" s="1259"/>
      <c r="I819" s="1259"/>
      <c r="J819" s="1259"/>
      <c r="K819" s="1259"/>
      <c r="L819" s="1259"/>
      <c r="M819" s="1259"/>
      <c r="N819" s="1259"/>
      <c r="O819" s="1259"/>
      <c r="P819" s="1259"/>
      <c r="Q819" s="1259"/>
      <c r="R819" s="1259"/>
      <c r="S819" s="1259"/>
      <c r="T819" s="1259"/>
      <c r="U819" s="1259"/>
      <c r="V819" s="1259"/>
      <c r="W819" s="1259"/>
      <c r="X819" s="1259"/>
      <c r="Y819" s="1259"/>
      <c r="Z819" s="1259"/>
    </row>
    <row r="820" spans="1:26" ht="15.75" customHeight="1">
      <c r="A820" s="1259"/>
      <c r="B820" s="1259"/>
      <c r="C820" s="1259"/>
      <c r="D820" s="1259"/>
      <c r="E820" s="1259"/>
      <c r="F820" s="1259"/>
      <c r="G820" s="1259"/>
      <c r="H820" s="1259"/>
      <c r="I820" s="1259"/>
      <c r="J820" s="1259"/>
      <c r="K820" s="1259"/>
      <c r="L820" s="1259"/>
      <c r="M820" s="1259"/>
      <c r="N820" s="1259"/>
      <c r="O820" s="1259"/>
      <c r="P820" s="1259"/>
      <c r="Q820" s="1259"/>
      <c r="R820" s="1259"/>
      <c r="S820" s="1259"/>
      <c r="T820" s="1259"/>
      <c r="U820" s="1259"/>
      <c r="V820" s="1259"/>
      <c r="W820" s="1259"/>
      <c r="X820" s="1259"/>
      <c r="Y820" s="1259"/>
      <c r="Z820" s="1259"/>
    </row>
    <row r="821" spans="1:26" ht="15.75" customHeight="1">
      <c r="A821" s="1259"/>
      <c r="B821" s="1259"/>
      <c r="C821" s="1259"/>
      <c r="D821" s="1259"/>
      <c r="E821" s="1259"/>
      <c r="F821" s="1259"/>
      <c r="G821" s="1259"/>
      <c r="H821" s="1259"/>
      <c r="I821" s="1259"/>
      <c r="J821" s="1259"/>
      <c r="K821" s="1259"/>
      <c r="L821" s="1259"/>
      <c r="M821" s="1259"/>
      <c r="N821" s="1259"/>
      <c r="O821" s="1259"/>
      <c r="P821" s="1259"/>
      <c r="Q821" s="1259"/>
      <c r="R821" s="1259"/>
      <c r="S821" s="1259"/>
      <c r="T821" s="1259"/>
      <c r="U821" s="1259"/>
      <c r="V821" s="1259"/>
      <c r="W821" s="1259"/>
      <c r="X821" s="1259"/>
      <c r="Y821" s="1259"/>
      <c r="Z821" s="1259"/>
    </row>
    <row r="822" spans="1:26" ht="15.75" customHeight="1">
      <c r="A822" s="1259"/>
      <c r="B822" s="1259"/>
      <c r="C822" s="1259"/>
      <c r="D822" s="1259"/>
      <c r="E822" s="1259"/>
      <c r="F822" s="1259"/>
      <c r="G822" s="1259"/>
      <c r="H822" s="1259"/>
      <c r="I822" s="1259"/>
      <c r="J822" s="1259"/>
      <c r="K822" s="1259"/>
      <c r="L822" s="1259"/>
      <c r="M822" s="1259"/>
      <c r="N822" s="1259"/>
      <c r="O822" s="1259"/>
      <c r="P822" s="1259"/>
      <c r="Q822" s="1259"/>
      <c r="R822" s="1259"/>
      <c r="S822" s="1259"/>
      <c r="T822" s="1259"/>
      <c r="U822" s="1259"/>
      <c r="V822" s="1259"/>
      <c r="W822" s="1259"/>
      <c r="X822" s="1259"/>
      <c r="Y822" s="1259"/>
      <c r="Z822" s="1259"/>
    </row>
    <row r="823" spans="1:26" ht="15.75" customHeight="1">
      <c r="A823" s="1259"/>
      <c r="B823" s="1259"/>
      <c r="C823" s="1259"/>
      <c r="D823" s="1259"/>
      <c r="E823" s="1259"/>
      <c r="F823" s="1259"/>
      <c r="G823" s="1259"/>
      <c r="H823" s="1259"/>
      <c r="I823" s="1259"/>
      <c r="J823" s="1259"/>
      <c r="K823" s="1259"/>
      <c r="L823" s="1259"/>
      <c r="M823" s="1259"/>
      <c r="N823" s="1259"/>
      <c r="O823" s="1259"/>
      <c r="P823" s="1259"/>
      <c r="Q823" s="1259"/>
      <c r="R823" s="1259"/>
      <c r="S823" s="1259"/>
      <c r="T823" s="1259"/>
      <c r="U823" s="1259"/>
      <c r="V823" s="1259"/>
      <c r="W823" s="1259"/>
      <c r="X823" s="1259"/>
      <c r="Y823" s="1259"/>
      <c r="Z823" s="1259"/>
    </row>
    <row r="824" spans="1:26" ht="15.75" customHeight="1">
      <c r="A824" s="1259"/>
      <c r="B824" s="1259"/>
      <c r="C824" s="1259"/>
      <c r="D824" s="1259"/>
      <c r="E824" s="1259"/>
      <c r="F824" s="1259"/>
      <c r="G824" s="1259"/>
      <c r="H824" s="1259"/>
      <c r="I824" s="1259"/>
      <c r="J824" s="1259"/>
      <c r="K824" s="1259"/>
      <c r="L824" s="1259"/>
      <c r="M824" s="1259"/>
      <c r="N824" s="1259"/>
      <c r="O824" s="1259"/>
      <c r="P824" s="1259"/>
      <c r="Q824" s="1259"/>
      <c r="R824" s="1259"/>
      <c r="S824" s="1259"/>
      <c r="T824" s="1259"/>
      <c r="U824" s="1259"/>
      <c r="V824" s="1259"/>
      <c r="W824" s="1259"/>
      <c r="X824" s="1259"/>
      <c r="Y824" s="1259"/>
      <c r="Z824" s="1259"/>
    </row>
    <row r="825" spans="1:26" ht="15.75" customHeight="1">
      <c r="A825" s="1259"/>
      <c r="B825" s="1259"/>
      <c r="C825" s="1259"/>
      <c r="D825" s="1259"/>
      <c r="E825" s="1259"/>
      <c r="F825" s="1259"/>
      <c r="G825" s="1259"/>
      <c r="H825" s="1259"/>
      <c r="I825" s="1259"/>
      <c r="J825" s="1259"/>
      <c r="K825" s="1259"/>
      <c r="L825" s="1259"/>
      <c r="M825" s="1259"/>
      <c r="N825" s="1259"/>
      <c r="O825" s="1259"/>
      <c r="P825" s="1259"/>
      <c r="Q825" s="1259"/>
      <c r="R825" s="1259"/>
      <c r="S825" s="1259"/>
      <c r="T825" s="1259"/>
      <c r="U825" s="1259"/>
      <c r="V825" s="1259"/>
      <c r="W825" s="1259"/>
      <c r="X825" s="1259"/>
      <c r="Y825" s="1259"/>
      <c r="Z825" s="1259"/>
    </row>
    <row r="826" spans="1:26" ht="15.75" customHeight="1">
      <c r="A826" s="1259"/>
      <c r="B826" s="1259"/>
      <c r="C826" s="1259"/>
      <c r="D826" s="1259"/>
      <c r="E826" s="1259"/>
      <c r="F826" s="1259"/>
      <c r="G826" s="1259"/>
      <c r="H826" s="1259"/>
      <c r="I826" s="1259"/>
      <c r="J826" s="1259"/>
      <c r="K826" s="1259"/>
      <c r="L826" s="1259"/>
      <c r="M826" s="1259"/>
      <c r="N826" s="1259"/>
      <c r="O826" s="1259"/>
      <c r="P826" s="1259"/>
      <c r="Q826" s="1259"/>
      <c r="R826" s="1259"/>
      <c r="S826" s="1259"/>
      <c r="T826" s="1259"/>
      <c r="U826" s="1259"/>
      <c r="V826" s="1259"/>
      <c r="W826" s="1259"/>
      <c r="X826" s="1259"/>
      <c r="Y826" s="1259"/>
      <c r="Z826" s="1259"/>
    </row>
    <row r="827" spans="1:26" ht="15.75" customHeight="1">
      <c r="A827" s="1259"/>
      <c r="B827" s="1259"/>
      <c r="C827" s="1259"/>
      <c r="D827" s="1259"/>
      <c r="E827" s="1259"/>
      <c r="F827" s="1259"/>
      <c r="G827" s="1259"/>
      <c r="H827" s="1259"/>
      <c r="I827" s="1259"/>
      <c r="J827" s="1259"/>
      <c r="K827" s="1259"/>
      <c r="L827" s="1259"/>
      <c r="M827" s="1259"/>
      <c r="N827" s="1259"/>
      <c r="O827" s="1259"/>
      <c r="P827" s="1259"/>
      <c r="Q827" s="1259"/>
      <c r="R827" s="1259"/>
      <c r="S827" s="1259"/>
      <c r="T827" s="1259"/>
      <c r="U827" s="1259"/>
      <c r="V827" s="1259"/>
      <c r="W827" s="1259"/>
      <c r="X827" s="1259"/>
      <c r="Y827" s="1259"/>
      <c r="Z827" s="1259"/>
    </row>
    <row r="828" spans="1:26" ht="15.75" customHeight="1">
      <c r="A828" s="1259"/>
      <c r="B828" s="1259"/>
      <c r="C828" s="1259"/>
      <c r="D828" s="1259"/>
      <c r="E828" s="1259"/>
      <c r="F828" s="1259"/>
      <c r="G828" s="1259"/>
      <c r="H828" s="1259"/>
      <c r="I828" s="1259"/>
      <c r="J828" s="1259"/>
      <c r="K828" s="1259"/>
      <c r="L828" s="1259"/>
      <c r="M828" s="1259"/>
      <c r="N828" s="1259"/>
      <c r="O828" s="1259"/>
      <c r="P828" s="1259"/>
      <c r="Q828" s="1259"/>
      <c r="R828" s="1259"/>
      <c r="S828" s="1259"/>
      <c r="T828" s="1259"/>
      <c r="U828" s="1259"/>
      <c r="V828" s="1259"/>
      <c r="W828" s="1259"/>
      <c r="X828" s="1259"/>
      <c r="Y828" s="1259"/>
      <c r="Z828" s="1259"/>
    </row>
    <row r="829" spans="1:26" ht="15.75" customHeight="1">
      <c r="A829" s="1259"/>
      <c r="B829" s="1259"/>
      <c r="C829" s="1259"/>
      <c r="D829" s="1259"/>
      <c r="E829" s="1259"/>
      <c r="F829" s="1259"/>
      <c r="G829" s="1259"/>
      <c r="H829" s="1259"/>
      <c r="I829" s="1259"/>
      <c r="J829" s="1259"/>
      <c r="K829" s="1259"/>
      <c r="L829" s="1259"/>
      <c r="M829" s="1259"/>
      <c r="N829" s="1259"/>
      <c r="O829" s="1259"/>
      <c r="P829" s="1259"/>
      <c r="Q829" s="1259"/>
      <c r="R829" s="1259"/>
      <c r="S829" s="1259"/>
      <c r="T829" s="1259"/>
      <c r="U829" s="1259"/>
      <c r="V829" s="1259"/>
      <c r="W829" s="1259"/>
      <c r="X829" s="1259"/>
      <c r="Y829" s="1259"/>
      <c r="Z829" s="1259"/>
    </row>
    <row r="830" spans="1:26" ht="15.75" customHeight="1">
      <c r="A830" s="1259"/>
      <c r="B830" s="1259"/>
      <c r="C830" s="1259"/>
      <c r="D830" s="1259"/>
      <c r="E830" s="1259"/>
      <c r="F830" s="1259"/>
      <c r="G830" s="1259"/>
      <c r="H830" s="1259"/>
      <c r="I830" s="1259"/>
      <c r="J830" s="1259"/>
      <c r="K830" s="1259"/>
      <c r="L830" s="1259"/>
      <c r="M830" s="1259"/>
      <c r="N830" s="1259"/>
      <c r="O830" s="1259"/>
      <c r="P830" s="1259"/>
      <c r="Q830" s="1259"/>
      <c r="R830" s="1259"/>
      <c r="S830" s="1259"/>
      <c r="T830" s="1259"/>
      <c r="U830" s="1259"/>
      <c r="V830" s="1259"/>
      <c r="W830" s="1259"/>
      <c r="X830" s="1259"/>
      <c r="Y830" s="1259"/>
      <c r="Z830" s="1259"/>
    </row>
    <row r="831" spans="1:26" ht="15.75" customHeight="1">
      <c r="A831" s="1259"/>
      <c r="B831" s="1259"/>
      <c r="C831" s="1259"/>
      <c r="D831" s="1259"/>
      <c r="E831" s="1259"/>
      <c r="F831" s="1259"/>
      <c r="G831" s="1259"/>
      <c r="H831" s="1259"/>
      <c r="I831" s="1259"/>
      <c r="J831" s="1259"/>
      <c r="K831" s="1259"/>
      <c r="L831" s="1259"/>
      <c r="M831" s="1259"/>
      <c r="N831" s="1259"/>
      <c r="O831" s="1259"/>
      <c r="P831" s="1259"/>
      <c r="Q831" s="1259"/>
      <c r="R831" s="1259"/>
      <c r="S831" s="1259"/>
      <c r="T831" s="1259"/>
      <c r="U831" s="1259"/>
      <c r="V831" s="1259"/>
      <c r="W831" s="1259"/>
      <c r="X831" s="1259"/>
      <c r="Y831" s="1259"/>
      <c r="Z831" s="1259"/>
    </row>
    <row r="832" spans="1:26" ht="15.75" customHeight="1">
      <c r="A832" s="1259"/>
      <c r="B832" s="1259"/>
      <c r="C832" s="1259"/>
      <c r="D832" s="1259"/>
      <c r="E832" s="1259"/>
      <c r="F832" s="1259"/>
      <c r="G832" s="1259"/>
      <c r="H832" s="1259"/>
      <c r="I832" s="1259"/>
      <c r="J832" s="1259"/>
      <c r="K832" s="1259"/>
      <c r="L832" s="1259"/>
      <c r="M832" s="1259"/>
      <c r="N832" s="1259"/>
      <c r="O832" s="1259"/>
      <c r="P832" s="1259"/>
      <c r="Q832" s="1259"/>
      <c r="R832" s="1259"/>
      <c r="S832" s="1259"/>
      <c r="T832" s="1259"/>
      <c r="U832" s="1259"/>
      <c r="V832" s="1259"/>
      <c r="W832" s="1259"/>
      <c r="X832" s="1259"/>
      <c r="Y832" s="1259"/>
      <c r="Z832" s="1259"/>
    </row>
    <row r="833" spans="1:26" ht="15.75" customHeight="1">
      <c r="A833" s="1259"/>
      <c r="B833" s="1259"/>
      <c r="C833" s="1259"/>
      <c r="D833" s="1259"/>
      <c r="E833" s="1259"/>
      <c r="F833" s="1259"/>
      <c r="G833" s="1259"/>
      <c r="H833" s="1259"/>
      <c r="I833" s="1259"/>
      <c r="J833" s="1259"/>
      <c r="K833" s="1259"/>
      <c r="L833" s="1259"/>
      <c r="M833" s="1259"/>
      <c r="N833" s="1259"/>
      <c r="O833" s="1259"/>
      <c r="P833" s="1259"/>
      <c r="Q833" s="1259"/>
      <c r="R833" s="1259"/>
      <c r="S833" s="1259"/>
      <c r="T833" s="1259"/>
      <c r="U833" s="1259"/>
      <c r="V833" s="1259"/>
      <c r="W833" s="1259"/>
      <c r="X833" s="1259"/>
      <c r="Y833" s="1259"/>
      <c r="Z833" s="1259"/>
    </row>
    <row r="834" spans="1:26" ht="15.75" customHeight="1">
      <c r="A834" s="1259"/>
      <c r="B834" s="1259"/>
      <c r="C834" s="1259"/>
      <c r="D834" s="1259"/>
      <c r="E834" s="1259"/>
      <c r="F834" s="1259"/>
      <c r="G834" s="1259"/>
      <c r="H834" s="1259"/>
      <c r="I834" s="1259"/>
      <c r="J834" s="1259"/>
      <c r="K834" s="1259"/>
      <c r="L834" s="1259"/>
      <c r="M834" s="1259"/>
      <c r="N834" s="1259"/>
      <c r="O834" s="1259"/>
      <c r="P834" s="1259"/>
      <c r="Q834" s="1259"/>
      <c r="R834" s="1259"/>
      <c r="S834" s="1259"/>
      <c r="T834" s="1259"/>
      <c r="U834" s="1259"/>
      <c r="V834" s="1259"/>
      <c r="W834" s="1259"/>
      <c r="X834" s="1259"/>
      <c r="Y834" s="1259"/>
      <c r="Z834" s="1259"/>
    </row>
    <row r="835" spans="1:26" ht="15.75" customHeight="1">
      <c r="A835" s="1259"/>
      <c r="B835" s="1259"/>
      <c r="C835" s="1259"/>
      <c r="D835" s="1259"/>
      <c r="E835" s="1259"/>
      <c r="F835" s="1259"/>
      <c r="G835" s="1259"/>
      <c r="H835" s="1259"/>
      <c r="I835" s="1259"/>
      <c r="J835" s="1259"/>
      <c r="K835" s="1259"/>
      <c r="L835" s="1259"/>
      <c r="M835" s="1259"/>
      <c r="N835" s="1259"/>
      <c r="O835" s="1259"/>
      <c r="P835" s="1259"/>
      <c r="Q835" s="1259"/>
      <c r="R835" s="1259"/>
      <c r="S835" s="1259"/>
      <c r="T835" s="1259"/>
      <c r="U835" s="1259"/>
      <c r="V835" s="1259"/>
      <c r="W835" s="1259"/>
      <c r="X835" s="1259"/>
      <c r="Y835" s="1259"/>
      <c r="Z835" s="1259"/>
    </row>
    <row r="836" spans="1:26" ht="15.75" customHeight="1">
      <c r="A836" s="1259"/>
      <c r="B836" s="1259"/>
      <c r="C836" s="1259"/>
      <c r="D836" s="1259"/>
      <c r="E836" s="1259"/>
      <c r="F836" s="1259"/>
      <c r="G836" s="1259"/>
      <c r="H836" s="1259"/>
      <c r="I836" s="1259"/>
      <c r="J836" s="1259"/>
      <c r="K836" s="1259"/>
      <c r="L836" s="1259"/>
      <c r="M836" s="1259"/>
      <c r="N836" s="1259"/>
      <c r="O836" s="1259"/>
      <c r="P836" s="1259"/>
      <c r="Q836" s="1259"/>
      <c r="R836" s="1259"/>
      <c r="S836" s="1259"/>
      <c r="T836" s="1259"/>
      <c r="U836" s="1259"/>
      <c r="V836" s="1259"/>
      <c r="W836" s="1259"/>
      <c r="X836" s="1259"/>
      <c r="Y836" s="1259"/>
      <c r="Z836" s="1259"/>
    </row>
    <row r="837" spans="1:26" ht="15.75" customHeight="1">
      <c r="A837" s="1259"/>
      <c r="B837" s="1259"/>
      <c r="C837" s="1259"/>
      <c r="D837" s="1259"/>
      <c r="E837" s="1259"/>
      <c r="F837" s="1259"/>
      <c r="G837" s="1259"/>
      <c r="H837" s="1259"/>
      <c r="I837" s="1259"/>
      <c r="J837" s="1259"/>
      <c r="K837" s="1259"/>
      <c r="L837" s="1259"/>
      <c r="M837" s="1259"/>
      <c r="N837" s="1259"/>
      <c r="O837" s="1259"/>
      <c r="P837" s="1259"/>
      <c r="Q837" s="1259"/>
      <c r="R837" s="1259"/>
      <c r="S837" s="1259"/>
      <c r="T837" s="1259"/>
      <c r="U837" s="1259"/>
      <c r="V837" s="1259"/>
      <c r="W837" s="1259"/>
      <c r="X837" s="1259"/>
      <c r="Y837" s="1259"/>
      <c r="Z837" s="1259"/>
    </row>
    <row r="838" spans="1:26" ht="15.75" customHeight="1">
      <c r="A838" s="1259"/>
      <c r="B838" s="1259"/>
      <c r="C838" s="1259"/>
      <c r="D838" s="1259"/>
      <c r="E838" s="1259"/>
      <c r="F838" s="1259"/>
      <c r="G838" s="1259"/>
      <c r="H838" s="1259"/>
      <c r="I838" s="1259"/>
      <c r="J838" s="1259"/>
      <c r="K838" s="1259"/>
      <c r="L838" s="1259"/>
      <c r="M838" s="1259"/>
      <c r="N838" s="1259"/>
      <c r="O838" s="1259"/>
      <c r="P838" s="1259"/>
      <c r="Q838" s="1259"/>
      <c r="R838" s="1259"/>
      <c r="S838" s="1259"/>
      <c r="T838" s="1259"/>
      <c r="U838" s="1259"/>
      <c r="V838" s="1259"/>
      <c r="W838" s="1259"/>
      <c r="X838" s="1259"/>
      <c r="Y838" s="1259"/>
      <c r="Z838" s="1259"/>
    </row>
    <row r="839" spans="1:26" ht="15.75" customHeight="1">
      <c r="A839" s="1259"/>
      <c r="B839" s="1259"/>
      <c r="C839" s="1259"/>
      <c r="D839" s="1259"/>
      <c r="E839" s="1259"/>
      <c r="F839" s="1259"/>
      <c r="G839" s="1259"/>
      <c r="H839" s="1259"/>
      <c r="I839" s="1259"/>
      <c r="J839" s="1259"/>
      <c r="K839" s="1259"/>
      <c r="L839" s="1259"/>
      <c r="M839" s="1259"/>
      <c r="N839" s="1259"/>
      <c r="O839" s="1259"/>
      <c r="P839" s="1259"/>
      <c r="Q839" s="1259"/>
      <c r="R839" s="1259"/>
      <c r="S839" s="1259"/>
      <c r="T839" s="1259"/>
      <c r="U839" s="1259"/>
      <c r="V839" s="1259"/>
      <c r="W839" s="1259"/>
      <c r="X839" s="1259"/>
      <c r="Y839" s="1259"/>
      <c r="Z839" s="1259"/>
    </row>
    <row r="840" spans="1:26" ht="15.75" customHeight="1">
      <c r="A840" s="1259"/>
      <c r="B840" s="1259"/>
      <c r="C840" s="1259"/>
      <c r="D840" s="1259"/>
      <c r="E840" s="1259"/>
      <c r="F840" s="1259"/>
      <c r="G840" s="1259"/>
      <c r="H840" s="1259"/>
      <c r="I840" s="1259"/>
      <c r="J840" s="1259"/>
      <c r="K840" s="1259"/>
      <c r="L840" s="1259"/>
      <c r="M840" s="1259"/>
      <c r="N840" s="1259"/>
      <c r="O840" s="1259"/>
      <c r="P840" s="1259"/>
      <c r="Q840" s="1259"/>
      <c r="R840" s="1259"/>
      <c r="S840" s="1259"/>
      <c r="T840" s="1259"/>
      <c r="U840" s="1259"/>
      <c r="V840" s="1259"/>
      <c r="W840" s="1259"/>
      <c r="X840" s="1259"/>
      <c r="Y840" s="1259"/>
      <c r="Z840" s="1259"/>
    </row>
    <row r="841" spans="1:26" ht="15.75" customHeight="1">
      <c r="A841" s="1259"/>
      <c r="B841" s="1259"/>
      <c r="C841" s="1259"/>
      <c r="D841" s="1259"/>
      <c r="E841" s="1259"/>
      <c r="F841" s="1259"/>
      <c r="G841" s="1259"/>
      <c r="H841" s="1259"/>
      <c r="I841" s="1259"/>
      <c r="J841" s="1259"/>
      <c r="K841" s="1259"/>
      <c r="L841" s="1259"/>
      <c r="M841" s="1259"/>
      <c r="N841" s="1259"/>
      <c r="O841" s="1259"/>
      <c r="P841" s="1259"/>
      <c r="Q841" s="1259"/>
      <c r="R841" s="1259"/>
      <c r="S841" s="1259"/>
      <c r="T841" s="1259"/>
      <c r="U841" s="1259"/>
      <c r="V841" s="1259"/>
      <c r="W841" s="1259"/>
      <c r="X841" s="1259"/>
      <c r="Y841" s="1259"/>
      <c r="Z841" s="1259"/>
    </row>
    <row r="842" spans="1:26" ht="15.75" customHeight="1">
      <c r="A842" s="1259"/>
      <c r="B842" s="1259"/>
      <c r="C842" s="1259"/>
      <c r="D842" s="1259"/>
      <c r="E842" s="1259"/>
      <c r="F842" s="1259"/>
      <c r="G842" s="1259"/>
      <c r="H842" s="1259"/>
      <c r="I842" s="1259"/>
      <c r="J842" s="1259"/>
      <c r="K842" s="1259"/>
      <c r="L842" s="1259"/>
      <c r="M842" s="1259"/>
      <c r="N842" s="1259"/>
      <c r="O842" s="1259"/>
      <c r="P842" s="1259"/>
      <c r="Q842" s="1259"/>
      <c r="R842" s="1259"/>
      <c r="S842" s="1259"/>
      <c r="T842" s="1259"/>
      <c r="U842" s="1259"/>
      <c r="V842" s="1259"/>
      <c r="W842" s="1259"/>
      <c r="X842" s="1259"/>
      <c r="Y842" s="1259"/>
      <c r="Z842" s="1259"/>
    </row>
    <row r="843" spans="1:26" ht="15.75" customHeight="1">
      <c r="A843" s="1259"/>
      <c r="B843" s="1259"/>
      <c r="C843" s="1259"/>
      <c r="D843" s="1259"/>
      <c r="E843" s="1259"/>
      <c r="F843" s="1259"/>
      <c r="G843" s="1259"/>
      <c r="H843" s="1259"/>
      <c r="I843" s="1259"/>
      <c r="J843" s="1259"/>
      <c r="K843" s="1259"/>
      <c r="L843" s="1259"/>
      <c r="M843" s="1259"/>
      <c r="N843" s="1259"/>
      <c r="O843" s="1259"/>
      <c r="P843" s="1259"/>
      <c r="Q843" s="1259"/>
      <c r="R843" s="1259"/>
      <c r="S843" s="1259"/>
      <c r="T843" s="1259"/>
      <c r="U843" s="1259"/>
      <c r="V843" s="1259"/>
      <c r="W843" s="1259"/>
      <c r="X843" s="1259"/>
      <c r="Y843" s="1259"/>
      <c r="Z843" s="1259"/>
    </row>
    <row r="844" spans="1:26" ht="15.75" customHeight="1">
      <c r="A844" s="1259"/>
      <c r="B844" s="1259"/>
      <c r="C844" s="1259"/>
      <c r="D844" s="1259"/>
      <c r="E844" s="1259"/>
      <c r="F844" s="1259"/>
      <c r="G844" s="1259"/>
      <c r="H844" s="1259"/>
      <c r="I844" s="1259"/>
      <c r="J844" s="1259"/>
      <c r="K844" s="1259"/>
      <c r="L844" s="1259"/>
      <c r="M844" s="1259"/>
      <c r="N844" s="1259"/>
      <c r="O844" s="1259"/>
      <c r="P844" s="1259"/>
      <c r="Q844" s="1259"/>
      <c r="R844" s="1259"/>
      <c r="S844" s="1259"/>
      <c r="T844" s="1259"/>
      <c r="U844" s="1259"/>
      <c r="V844" s="1259"/>
      <c r="W844" s="1259"/>
      <c r="X844" s="1259"/>
      <c r="Y844" s="1259"/>
      <c r="Z844" s="1259"/>
    </row>
    <row r="845" spans="1:26" ht="15.75" customHeight="1">
      <c r="A845" s="1259"/>
      <c r="B845" s="1259"/>
      <c r="C845" s="1259"/>
      <c r="D845" s="1259"/>
      <c r="E845" s="1259"/>
      <c r="F845" s="1259"/>
      <c r="G845" s="1259"/>
      <c r="H845" s="1259"/>
      <c r="I845" s="1259"/>
      <c r="J845" s="1259"/>
      <c r="K845" s="1259"/>
      <c r="L845" s="1259"/>
      <c r="M845" s="1259"/>
      <c r="N845" s="1259"/>
      <c r="O845" s="1259"/>
      <c r="P845" s="1259"/>
      <c r="Q845" s="1259"/>
      <c r="R845" s="1259"/>
      <c r="S845" s="1259"/>
      <c r="T845" s="1259"/>
      <c r="U845" s="1259"/>
      <c r="V845" s="1259"/>
      <c r="W845" s="1259"/>
      <c r="X845" s="1259"/>
      <c r="Y845" s="1259"/>
      <c r="Z845" s="1259"/>
    </row>
    <row r="846" spans="1:26" ht="15.75" customHeight="1">
      <c r="A846" s="1259"/>
      <c r="B846" s="1259"/>
      <c r="C846" s="1259"/>
      <c r="D846" s="1259"/>
      <c r="E846" s="1259"/>
      <c r="F846" s="1259"/>
      <c r="G846" s="1259"/>
      <c r="H846" s="1259"/>
      <c r="I846" s="1259"/>
      <c r="J846" s="1259"/>
      <c r="K846" s="1259"/>
      <c r="L846" s="1259"/>
      <c r="M846" s="1259"/>
      <c r="N846" s="1259"/>
      <c r="O846" s="1259"/>
      <c r="P846" s="1259"/>
      <c r="Q846" s="1259"/>
      <c r="R846" s="1259"/>
      <c r="S846" s="1259"/>
      <c r="T846" s="1259"/>
      <c r="U846" s="1259"/>
      <c r="V846" s="1259"/>
      <c r="W846" s="1259"/>
      <c r="X846" s="1259"/>
      <c r="Y846" s="1259"/>
      <c r="Z846" s="1259"/>
    </row>
    <row r="847" spans="1:26" ht="15.75" customHeight="1">
      <c r="A847" s="1259"/>
      <c r="B847" s="1259"/>
      <c r="C847" s="1259"/>
      <c r="D847" s="1259"/>
      <c r="E847" s="1259"/>
      <c r="F847" s="1259"/>
      <c r="G847" s="1259"/>
      <c r="H847" s="1259"/>
      <c r="I847" s="1259"/>
      <c r="J847" s="1259"/>
      <c r="K847" s="1259"/>
      <c r="L847" s="1259"/>
      <c r="M847" s="1259"/>
      <c r="N847" s="1259"/>
      <c r="O847" s="1259"/>
      <c r="P847" s="1259"/>
      <c r="Q847" s="1259"/>
      <c r="R847" s="1259"/>
      <c r="S847" s="1259"/>
      <c r="T847" s="1259"/>
      <c r="U847" s="1259"/>
      <c r="V847" s="1259"/>
      <c r="W847" s="1259"/>
      <c r="X847" s="1259"/>
      <c r="Y847" s="1259"/>
      <c r="Z847" s="1259"/>
    </row>
    <row r="848" spans="1:26" ht="15.75" customHeight="1">
      <c r="A848" s="1259"/>
      <c r="B848" s="1259"/>
      <c r="C848" s="1259"/>
      <c r="D848" s="1259"/>
      <c r="E848" s="1259"/>
      <c r="F848" s="1259"/>
      <c r="G848" s="1259"/>
      <c r="H848" s="1259"/>
      <c r="I848" s="1259"/>
      <c r="J848" s="1259"/>
      <c r="K848" s="1259"/>
      <c r="L848" s="1259"/>
      <c r="M848" s="1259"/>
      <c r="N848" s="1259"/>
      <c r="O848" s="1259"/>
      <c r="P848" s="1259"/>
      <c r="Q848" s="1259"/>
      <c r="R848" s="1259"/>
      <c r="S848" s="1259"/>
      <c r="T848" s="1259"/>
      <c r="U848" s="1259"/>
      <c r="V848" s="1259"/>
      <c r="W848" s="1259"/>
      <c r="X848" s="1259"/>
      <c r="Y848" s="1259"/>
      <c r="Z848" s="1259"/>
    </row>
    <row r="849" spans="1:26" ht="15.75" customHeight="1">
      <c r="A849" s="1259"/>
      <c r="B849" s="1259"/>
      <c r="C849" s="1259"/>
      <c r="D849" s="1259"/>
      <c r="E849" s="1259"/>
      <c r="F849" s="1259"/>
      <c r="G849" s="1259"/>
      <c r="H849" s="1259"/>
      <c r="I849" s="1259"/>
      <c r="J849" s="1259"/>
      <c r="K849" s="1259"/>
      <c r="L849" s="1259"/>
      <c r="M849" s="1259"/>
      <c r="N849" s="1259"/>
      <c r="O849" s="1259"/>
      <c r="P849" s="1259"/>
      <c r="Q849" s="1259"/>
      <c r="R849" s="1259"/>
      <c r="S849" s="1259"/>
      <c r="T849" s="1259"/>
      <c r="U849" s="1259"/>
      <c r="V849" s="1259"/>
      <c r="W849" s="1259"/>
      <c r="X849" s="1259"/>
      <c r="Y849" s="1259"/>
      <c r="Z849" s="1259"/>
    </row>
    <row r="850" spans="1:26" ht="15.75" customHeight="1">
      <c r="A850" s="1259"/>
      <c r="B850" s="1259"/>
      <c r="C850" s="1259"/>
      <c r="D850" s="1259"/>
      <c r="E850" s="1259"/>
      <c r="F850" s="1259"/>
      <c r="G850" s="1259"/>
      <c r="H850" s="1259"/>
      <c r="I850" s="1259"/>
      <c r="J850" s="1259"/>
      <c r="K850" s="1259"/>
      <c r="L850" s="1259"/>
      <c r="M850" s="1259"/>
      <c r="N850" s="1259"/>
      <c r="O850" s="1259"/>
      <c r="P850" s="1259"/>
      <c r="Q850" s="1259"/>
      <c r="R850" s="1259"/>
      <c r="S850" s="1259"/>
      <c r="T850" s="1259"/>
      <c r="U850" s="1259"/>
      <c r="V850" s="1259"/>
      <c r="W850" s="1259"/>
      <c r="X850" s="1259"/>
      <c r="Y850" s="1259"/>
      <c r="Z850" s="1259"/>
    </row>
    <row r="851" spans="1:26" ht="15.75" customHeight="1">
      <c r="A851" s="1259"/>
      <c r="B851" s="1259"/>
      <c r="C851" s="1259"/>
      <c r="D851" s="1259"/>
      <c r="E851" s="1259"/>
      <c r="F851" s="1259"/>
      <c r="G851" s="1259"/>
      <c r="H851" s="1259"/>
      <c r="I851" s="1259"/>
      <c r="J851" s="1259"/>
      <c r="K851" s="1259"/>
      <c r="L851" s="1259"/>
      <c r="M851" s="1259"/>
      <c r="N851" s="1259"/>
      <c r="O851" s="1259"/>
      <c r="P851" s="1259"/>
      <c r="Q851" s="1259"/>
      <c r="R851" s="1259"/>
      <c r="S851" s="1259"/>
      <c r="T851" s="1259"/>
      <c r="U851" s="1259"/>
      <c r="V851" s="1259"/>
      <c r="W851" s="1259"/>
      <c r="X851" s="1259"/>
      <c r="Y851" s="1259"/>
      <c r="Z851" s="1259"/>
    </row>
    <row r="852" spans="1:26" ht="15.75" customHeight="1">
      <c r="A852" s="1259"/>
      <c r="B852" s="1259"/>
      <c r="C852" s="1259"/>
      <c r="D852" s="1259"/>
      <c r="E852" s="1259"/>
      <c r="F852" s="1259"/>
      <c r="G852" s="1259"/>
      <c r="H852" s="1259"/>
      <c r="I852" s="1259"/>
      <c r="J852" s="1259"/>
      <c r="K852" s="1259"/>
      <c r="L852" s="1259"/>
      <c r="M852" s="1259"/>
      <c r="N852" s="1259"/>
      <c r="O852" s="1259"/>
      <c r="P852" s="1259"/>
      <c r="Q852" s="1259"/>
      <c r="R852" s="1259"/>
      <c r="S852" s="1259"/>
      <c r="T852" s="1259"/>
      <c r="U852" s="1259"/>
      <c r="V852" s="1259"/>
      <c r="W852" s="1259"/>
      <c r="X852" s="1259"/>
      <c r="Y852" s="1259"/>
      <c r="Z852" s="1259"/>
    </row>
    <row r="853" spans="1:26" ht="15.75" customHeight="1">
      <c r="A853" s="1259"/>
      <c r="B853" s="1259"/>
      <c r="C853" s="1259"/>
      <c r="D853" s="1259"/>
      <c r="E853" s="1259"/>
      <c r="F853" s="1259"/>
      <c r="G853" s="1259"/>
      <c r="H853" s="1259"/>
      <c r="I853" s="1259"/>
      <c r="J853" s="1259"/>
      <c r="K853" s="1259"/>
      <c r="L853" s="1259"/>
      <c r="M853" s="1259"/>
      <c r="N853" s="1259"/>
      <c r="O853" s="1259"/>
      <c r="P853" s="1259"/>
      <c r="Q853" s="1259"/>
      <c r="R853" s="1259"/>
      <c r="S853" s="1259"/>
      <c r="T853" s="1259"/>
      <c r="U853" s="1259"/>
      <c r="V853" s="1259"/>
      <c r="W853" s="1259"/>
      <c r="X853" s="1259"/>
      <c r="Y853" s="1259"/>
      <c r="Z853" s="1259"/>
    </row>
    <row r="854" spans="1:26" ht="15.75" customHeight="1">
      <c r="A854" s="1259"/>
      <c r="B854" s="1259"/>
      <c r="C854" s="1259"/>
      <c r="D854" s="1259"/>
      <c r="E854" s="1259"/>
      <c r="F854" s="1259"/>
      <c r="G854" s="1259"/>
      <c r="H854" s="1259"/>
      <c r="I854" s="1259"/>
      <c r="J854" s="1259"/>
      <c r="K854" s="1259"/>
      <c r="L854" s="1259"/>
      <c r="M854" s="1259"/>
      <c r="N854" s="1259"/>
      <c r="O854" s="1259"/>
      <c r="P854" s="1259"/>
      <c r="Q854" s="1259"/>
      <c r="R854" s="1259"/>
      <c r="S854" s="1259"/>
      <c r="T854" s="1259"/>
      <c r="U854" s="1259"/>
      <c r="V854" s="1259"/>
      <c r="W854" s="1259"/>
      <c r="X854" s="1259"/>
      <c r="Y854" s="1259"/>
      <c r="Z854" s="1259"/>
    </row>
    <row r="855" spans="1:26" ht="15.75" customHeight="1">
      <c r="A855" s="1259"/>
      <c r="B855" s="1259"/>
      <c r="C855" s="1259"/>
      <c r="D855" s="1259"/>
      <c r="E855" s="1259"/>
      <c r="F855" s="1259"/>
      <c r="G855" s="1259"/>
      <c r="H855" s="1259"/>
      <c r="I855" s="1259"/>
      <c r="J855" s="1259"/>
      <c r="K855" s="1259"/>
      <c r="L855" s="1259"/>
      <c r="M855" s="1259"/>
      <c r="N855" s="1259"/>
      <c r="O855" s="1259"/>
      <c r="P855" s="1259"/>
      <c r="Q855" s="1259"/>
      <c r="R855" s="1259"/>
      <c r="S855" s="1259"/>
      <c r="T855" s="1259"/>
      <c r="U855" s="1259"/>
      <c r="V855" s="1259"/>
      <c r="W855" s="1259"/>
      <c r="X855" s="1259"/>
      <c r="Y855" s="1259"/>
      <c r="Z855" s="1259"/>
    </row>
    <row r="856" spans="1:26" ht="15.75" customHeight="1">
      <c r="A856" s="1259"/>
      <c r="B856" s="1259"/>
      <c r="C856" s="1259"/>
      <c r="D856" s="1259"/>
      <c r="E856" s="1259"/>
      <c r="F856" s="1259"/>
      <c r="G856" s="1259"/>
      <c r="H856" s="1259"/>
      <c r="I856" s="1259"/>
      <c r="J856" s="1259"/>
      <c r="K856" s="1259"/>
      <c r="L856" s="1259"/>
      <c r="M856" s="1259"/>
      <c r="N856" s="1259"/>
      <c r="O856" s="1259"/>
      <c r="P856" s="1259"/>
      <c r="Q856" s="1259"/>
      <c r="R856" s="1259"/>
      <c r="S856" s="1259"/>
      <c r="T856" s="1259"/>
      <c r="U856" s="1259"/>
      <c r="V856" s="1259"/>
      <c r="W856" s="1259"/>
      <c r="X856" s="1259"/>
      <c r="Y856" s="1259"/>
      <c r="Z856" s="1259"/>
    </row>
    <row r="857" spans="1:26" ht="15.75" customHeight="1">
      <c r="A857" s="1259"/>
      <c r="B857" s="1259"/>
      <c r="C857" s="1259"/>
      <c r="D857" s="1259"/>
      <c r="E857" s="1259"/>
      <c r="F857" s="1259"/>
      <c r="G857" s="1259"/>
      <c r="H857" s="1259"/>
      <c r="I857" s="1259"/>
      <c r="J857" s="1259"/>
      <c r="K857" s="1259"/>
      <c r="L857" s="1259"/>
      <c r="M857" s="1259"/>
      <c r="N857" s="1259"/>
      <c r="O857" s="1259"/>
      <c r="P857" s="1259"/>
      <c r="Q857" s="1259"/>
      <c r="R857" s="1259"/>
      <c r="S857" s="1259"/>
      <c r="T857" s="1259"/>
      <c r="U857" s="1259"/>
      <c r="V857" s="1259"/>
      <c r="W857" s="1259"/>
      <c r="X857" s="1259"/>
      <c r="Y857" s="1259"/>
      <c r="Z857" s="1259"/>
    </row>
    <row r="858" spans="1:26" ht="15.75" customHeight="1">
      <c r="A858" s="1259"/>
      <c r="B858" s="1259"/>
      <c r="C858" s="1259"/>
      <c r="D858" s="1259"/>
      <c r="E858" s="1259"/>
      <c r="F858" s="1259"/>
      <c r="G858" s="1259"/>
      <c r="H858" s="1259"/>
      <c r="I858" s="1259"/>
      <c r="J858" s="1259"/>
      <c r="K858" s="1259"/>
      <c r="L858" s="1259"/>
      <c r="M858" s="1259"/>
      <c r="N858" s="1259"/>
      <c r="O858" s="1259"/>
      <c r="P858" s="1259"/>
      <c r="Q858" s="1259"/>
      <c r="R858" s="1259"/>
      <c r="S858" s="1259"/>
      <c r="T858" s="1259"/>
      <c r="U858" s="1259"/>
      <c r="V858" s="1259"/>
      <c r="W858" s="1259"/>
      <c r="X858" s="1259"/>
      <c r="Y858" s="1259"/>
      <c r="Z858" s="1259"/>
    </row>
    <row r="859" spans="1:26" ht="15.75" customHeight="1">
      <c r="A859" s="1259"/>
      <c r="B859" s="1259"/>
      <c r="C859" s="1259"/>
      <c r="D859" s="1259"/>
      <c r="E859" s="1259"/>
      <c r="F859" s="1259"/>
      <c r="G859" s="1259"/>
      <c r="H859" s="1259"/>
      <c r="I859" s="1259"/>
      <c r="J859" s="1259"/>
      <c r="K859" s="1259"/>
      <c r="L859" s="1259"/>
      <c r="M859" s="1259"/>
      <c r="N859" s="1259"/>
      <c r="O859" s="1259"/>
      <c r="P859" s="1259"/>
      <c r="Q859" s="1259"/>
      <c r="R859" s="1259"/>
      <c r="S859" s="1259"/>
      <c r="T859" s="1259"/>
      <c r="U859" s="1259"/>
      <c r="V859" s="1259"/>
      <c r="W859" s="1259"/>
      <c r="X859" s="1259"/>
      <c r="Y859" s="1259"/>
      <c r="Z859" s="1259"/>
    </row>
    <row r="860" spans="1:26" ht="15.75" customHeight="1">
      <c r="A860" s="1259"/>
      <c r="B860" s="1259"/>
      <c r="C860" s="1259"/>
      <c r="D860" s="1259"/>
      <c r="E860" s="1259"/>
      <c r="F860" s="1259"/>
      <c r="G860" s="1259"/>
      <c r="H860" s="1259"/>
      <c r="I860" s="1259"/>
      <c r="J860" s="1259"/>
      <c r="K860" s="1259"/>
      <c r="L860" s="1259"/>
      <c r="M860" s="1259"/>
      <c r="N860" s="1259"/>
      <c r="O860" s="1259"/>
      <c r="P860" s="1259"/>
      <c r="Q860" s="1259"/>
      <c r="R860" s="1259"/>
      <c r="S860" s="1259"/>
      <c r="T860" s="1259"/>
      <c r="U860" s="1259"/>
      <c r="V860" s="1259"/>
      <c r="W860" s="1259"/>
      <c r="X860" s="1259"/>
      <c r="Y860" s="1259"/>
      <c r="Z860" s="1259"/>
    </row>
    <row r="861" spans="1:26" ht="15.75" customHeight="1">
      <c r="A861" s="1259"/>
      <c r="B861" s="1259"/>
      <c r="C861" s="1259"/>
      <c r="D861" s="1259"/>
      <c r="E861" s="1259"/>
      <c r="F861" s="1259"/>
      <c r="G861" s="1259"/>
      <c r="H861" s="1259"/>
      <c r="I861" s="1259"/>
      <c r="J861" s="1259"/>
      <c r="K861" s="1259"/>
      <c r="L861" s="1259"/>
      <c r="M861" s="1259"/>
      <c r="N861" s="1259"/>
      <c r="O861" s="1259"/>
      <c r="P861" s="1259"/>
      <c r="Q861" s="1259"/>
      <c r="R861" s="1259"/>
      <c r="S861" s="1259"/>
      <c r="T861" s="1259"/>
      <c r="U861" s="1259"/>
      <c r="V861" s="1259"/>
      <c r="W861" s="1259"/>
      <c r="X861" s="1259"/>
      <c r="Y861" s="1259"/>
      <c r="Z861" s="1259"/>
    </row>
    <row r="862" spans="1:26" ht="15.75" customHeight="1">
      <c r="A862" s="1259"/>
      <c r="B862" s="1259"/>
      <c r="C862" s="1259"/>
      <c r="D862" s="1259"/>
      <c r="E862" s="1259"/>
      <c r="F862" s="1259"/>
      <c r="G862" s="1259"/>
      <c r="H862" s="1259"/>
      <c r="I862" s="1259"/>
      <c r="J862" s="1259"/>
      <c r="K862" s="1259"/>
      <c r="L862" s="1259"/>
      <c r="M862" s="1259"/>
      <c r="N862" s="1259"/>
      <c r="O862" s="1259"/>
      <c r="P862" s="1259"/>
      <c r="Q862" s="1259"/>
      <c r="R862" s="1259"/>
      <c r="S862" s="1259"/>
      <c r="T862" s="1259"/>
      <c r="U862" s="1259"/>
      <c r="V862" s="1259"/>
      <c r="W862" s="1259"/>
      <c r="X862" s="1259"/>
      <c r="Y862" s="1259"/>
      <c r="Z862" s="1259"/>
    </row>
    <row r="863" spans="1:26" ht="15.75" customHeight="1">
      <c r="A863" s="1259"/>
      <c r="B863" s="1259"/>
      <c r="C863" s="1259"/>
      <c r="D863" s="1259"/>
      <c r="E863" s="1259"/>
      <c r="F863" s="1259"/>
      <c r="G863" s="1259"/>
      <c r="H863" s="1259"/>
      <c r="I863" s="1259"/>
      <c r="J863" s="1259"/>
      <c r="K863" s="1259"/>
      <c r="L863" s="1259"/>
      <c r="M863" s="1259"/>
      <c r="N863" s="1259"/>
      <c r="O863" s="1259"/>
      <c r="P863" s="1259"/>
      <c r="Q863" s="1259"/>
      <c r="R863" s="1259"/>
      <c r="S863" s="1259"/>
      <c r="T863" s="1259"/>
      <c r="U863" s="1259"/>
      <c r="V863" s="1259"/>
      <c r="W863" s="1259"/>
      <c r="X863" s="1259"/>
      <c r="Y863" s="1259"/>
      <c r="Z863" s="1259"/>
    </row>
    <row r="864" spans="1:26" ht="15.75" customHeight="1">
      <c r="A864" s="1259"/>
      <c r="B864" s="1259"/>
      <c r="C864" s="1259"/>
      <c r="D864" s="1259"/>
      <c r="E864" s="1259"/>
      <c r="F864" s="1259"/>
      <c r="G864" s="1259"/>
      <c r="H864" s="1259"/>
      <c r="I864" s="1259"/>
      <c r="J864" s="1259"/>
      <c r="K864" s="1259"/>
      <c r="L864" s="1259"/>
      <c r="M864" s="1259"/>
      <c r="N864" s="1259"/>
      <c r="O864" s="1259"/>
      <c r="P864" s="1259"/>
      <c r="Q864" s="1259"/>
      <c r="R864" s="1259"/>
      <c r="S864" s="1259"/>
      <c r="T864" s="1259"/>
      <c r="U864" s="1259"/>
      <c r="V864" s="1259"/>
      <c r="W864" s="1259"/>
      <c r="X864" s="1259"/>
      <c r="Y864" s="1259"/>
      <c r="Z864" s="1259"/>
    </row>
    <row r="865" spans="1:26" ht="15.75" customHeight="1">
      <c r="A865" s="1259"/>
      <c r="B865" s="1259"/>
      <c r="C865" s="1259"/>
      <c r="D865" s="1259"/>
      <c r="E865" s="1259"/>
      <c r="F865" s="1259"/>
      <c r="G865" s="1259"/>
      <c r="H865" s="1259"/>
      <c r="I865" s="1259"/>
      <c r="J865" s="1259"/>
      <c r="K865" s="1259"/>
      <c r="L865" s="1259"/>
      <c r="M865" s="1259"/>
      <c r="N865" s="1259"/>
      <c r="O865" s="1259"/>
      <c r="P865" s="1259"/>
      <c r="Q865" s="1259"/>
      <c r="R865" s="1259"/>
      <c r="S865" s="1259"/>
      <c r="T865" s="1259"/>
      <c r="U865" s="1259"/>
      <c r="V865" s="1259"/>
      <c r="W865" s="1259"/>
      <c r="X865" s="1259"/>
      <c r="Y865" s="1259"/>
      <c r="Z865" s="1259"/>
    </row>
    <row r="866" spans="1:26" ht="15.75" customHeight="1">
      <c r="A866" s="1259"/>
      <c r="B866" s="1259"/>
      <c r="C866" s="1259"/>
      <c r="D866" s="1259"/>
      <c r="E866" s="1259"/>
      <c r="F866" s="1259"/>
      <c r="G866" s="1259"/>
      <c r="H866" s="1259"/>
      <c r="I866" s="1259"/>
      <c r="J866" s="1259"/>
      <c r="K866" s="1259"/>
      <c r="L866" s="1259"/>
      <c r="M866" s="1259"/>
      <c r="N866" s="1259"/>
      <c r="O866" s="1259"/>
      <c r="P866" s="1259"/>
      <c r="Q866" s="1259"/>
      <c r="R866" s="1259"/>
      <c r="S866" s="1259"/>
      <c r="T866" s="1259"/>
      <c r="U866" s="1259"/>
      <c r="V866" s="1259"/>
      <c r="W866" s="1259"/>
      <c r="X866" s="1259"/>
      <c r="Y866" s="1259"/>
      <c r="Z866" s="1259"/>
    </row>
    <row r="867" spans="1:26" ht="15.75" customHeight="1">
      <c r="A867" s="1259"/>
      <c r="B867" s="1259"/>
      <c r="C867" s="1259"/>
      <c r="D867" s="1259"/>
      <c r="E867" s="1259"/>
      <c r="F867" s="1259"/>
      <c r="G867" s="1259"/>
      <c r="H867" s="1259"/>
      <c r="I867" s="1259"/>
      <c r="J867" s="1259"/>
      <c r="K867" s="1259"/>
      <c r="L867" s="1259"/>
      <c r="M867" s="1259"/>
      <c r="N867" s="1259"/>
      <c r="O867" s="1259"/>
      <c r="P867" s="1259"/>
      <c r="Q867" s="1259"/>
      <c r="R867" s="1259"/>
      <c r="S867" s="1259"/>
      <c r="T867" s="1259"/>
      <c r="U867" s="1259"/>
      <c r="V867" s="1259"/>
      <c r="W867" s="1259"/>
      <c r="X867" s="1259"/>
      <c r="Y867" s="1259"/>
      <c r="Z867" s="1259"/>
    </row>
    <row r="868" spans="1:26" ht="15.75" customHeight="1">
      <c r="A868" s="1259"/>
      <c r="B868" s="1259"/>
      <c r="C868" s="1259"/>
      <c r="D868" s="1259"/>
      <c r="E868" s="1259"/>
      <c r="F868" s="1259"/>
      <c r="G868" s="1259"/>
      <c r="H868" s="1259"/>
      <c r="I868" s="1259"/>
      <c r="J868" s="1259"/>
      <c r="K868" s="1259"/>
      <c r="L868" s="1259"/>
      <c r="M868" s="1259"/>
      <c r="N868" s="1259"/>
      <c r="O868" s="1259"/>
      <c r="P868" s="1259"/>
      <c r="Q868" s="1259"/>
      <c r="R868" s="1259"/>
      <c r="S868" s="1259"/>
      <c r="T868" s="1259"/>
      <c r="U868" s="1259"/>
      <c r="V868" s="1259"/>
      <c r="W868" s="1259"/>
      <c r="X868" s="1259"/>
      <c r="Y868" s="1259"/>
      <c r="Z868" s="1259"/>
    </row>
    <row r="869" spans="1:26" ht="15.75" customHeight="1">
      <c r="A869" s="1259"/>
      <c r="B869" s="1259"/>
      <c r="C869" s="1259"/>
      <c r="D869" s="1259"/>
      <c r="E869" s="1259"/>
      <c r="F869" s="1259"/>
      <c r="G869" s="1259"/>
      <c r="H869" s="1259"/>
      <c r="I869" s="1259"/>
      <c r="J869" s="1259"/>
      <c r="K869" s="1259"/>
      <c r="L869" s="1259"/>
      <c r="M869" s="1259"/>
      <c r="N869" s="1259"/>
      <c r="O869" s="1259"/>
      <c r="P869" s="1259"/>
      <c r="Q869" s="1259"/>
      <c r="R869" s="1259"/>
      <c r="S869" s="1259"/>
      <c r="T869" s="1259"/>
      <c r="U869" s="1259"/>
      <c r="V869" s="1259"/>
      <c r="W869" s="1259"/>
      <c r="X869" s="1259"/>
      <c r="Y869" s="1259"/>
      <c r="Z869" s="1259"/>
    </row>
    <row r="870" spans="1:26" ht="15.75" customHeight="1">
      <c r="A870" s="1259"/>
      <c r="B870" s="1259"/>
      <c r="C870" s="1259"/>
      <c r="D870" s="1259"/>
      <c r="E870" s="1259"/>
      <c r="F870" s="1259"/>
      <c r="G870" s="1259"/>
      <c r="H870" s="1259"/>
      <c r="I870" s="1259"/>
      <c r="J870" s="1259"/>
      <c r="K870" s="1259"/>
      <c r="L870" s="1259"/>
      <c r="M870" s="1259"/>
      <c r="N870" s="1259"/>
      <c r="O870" s="1259"/>
      <c r="P870" s="1259"/>
      <c r="Q870" s="1259"/>
      <c r="R870" s="1259"/>
      <c r="S870" s="1259"/>
      <c r="T870" s="1259"/>
      <c r="U870" s="1259"/>
      <c r="V870" s="1259"/>
      <c r="W870" s="1259"/>
      <c r="X870" s="1259"/>
      <c r="Y870" s="1259"/>
      <c r="Z870" s="1259"/>
    </row>
    <row r="871" spans="1:26" ht="15.75" customHeight="1">
      <c r="A871" s="1259"/>
      <c r="B871" s="1259"/>
      <c r="C871" s="1259"/>
      <c r="D871" s="1259"/>
      <c r="E871" s="1259"/>
      <c r="F871" s="1259"/>
      <c r="G871" s="1259"/>
      <c r="H871" s="1259"/>
      <c r="I871" s="1259"/>
      <c r="J871" s="1259"/>
      <c r="K871" s="1259"/>
      <c r="L871" s="1259"/>
      <c r="M871" s="1259"/>
      <c r="N871" s="1259"/>
      <c r="O871" s="1259"/>
      <c r="P871" s="1259"/>
      <c r="Q871" s="1259"/>
      <c r="R871" s="1259"/>
      <c r="S871" s="1259"/>
      <c r="T871" s="1259"/>
      <c r="U871" s="1259"/>
      <c r="V871" s="1259"/>
      <c r="W871" s="1259"/>
      <c r="X871" s="1259"/>
      <c r="Y871" s="1259"/>
      <c r="Z871" s="1259"/>
    </row>
    <row r="872" spans="1:26" ht="15.75" customHeight="1">
      <c r="A872" s="1259"/>
      <c r="B872" s="1259"/>
      <c r="C872" s="1259"/>
      <c r="D872" s="1259"/>
      <c r="E872" s="1259"/>
      <c r="F872" s="1259"/>
      <c r="G872" s="1259"/>
      <c r="H872" s="1259"/>
      <c r="I872" s="1259"/>
      <c r="J872" s="1259"/>
      <c r="K872" s="1259"/>
      <c r="L872" s="1259"/>
      <c r="M872" s="1259"/>
      <c r="N872" s="1259"/>
      <c r="O872" s="1259"/>
      <c r="P872" s="1259"/>
      <c r="Q872" s="1259"/>
      <c r="R872" s="1259"/>
      <c r="S872" s="1259"/>
      <c r="T872" s="1259"/>
      <c r="U872" s="1259"/>
      <c r="V872" s="1259"/>
      <c r="W872" s="1259"/>
      <c r="X872" s="1259"/>
      <c r="Y872" s="1259"/>
      <c r="Z872" s="1259"/>
    </row>
    <row r="873" spans="1:26" ht="15.75" customHeight="1">
      <c r="A873" s="1259"/>
      <c r="B873" s="1259"/>
      <c r="C873" s="1259"/>
      <c r="D873" s="1259"/>
      <c r="E873" s="1259"/>
      <c r="F873" s="1259"/>
      <c r="G873" s="1259"/>
      <c r="H873" s="1259"/>
      <c r="I873" s="1259"/>
      <c r="J873" s="1259"/>
      <c r="K873" s="1259"/>
      <c r="L873" s="1259"/>
      <c r="M873" s="1259"/>
      <c r="N873" s="1259"/>
      <c r="O873" s="1259"/>
      <c r="P873" s="1259"/>
      <c r="Q873" s="1259"/>
      <c r="R873" s="1259"/>
      <c r="S873" s="1259"/>
      <c r="T873" s="1259"/>
      <c r="U873" s="1259"/>
      <c r="V873" s="1259"/>
      <c r="W873" s="1259"/>
      <c r="X873" s="1259"/>
      <c r="Y873" s="1259"/>
      <c r="Z873" s="1259"/>
    </row>
    <row r="874" spans="1:26" ht="15.75" customHeight="1">
      <c r="A874" s="1259"/>
      <c r="B874" s="1259"/>
      <c r="C874" s="1259"/>
      <c r="D874" s="1259"/>
      <c r="E874" s="1259"/>
      <c r="F874" s="1259"/>
      <c r="G874" s="1259"/>
      <c r="H874" s="1259"/>
      <c r="I874" s="1259"/>
      <c r="J874" s="1259"/>
      <c r="K874" s="1259"/>
      <c r="L874" s="1259"/>
      <c r="M874" s="1259"/>
      <c r="N874" s="1259"/>
      <c r="O874" s="1259"/>
      <c r="P874" s="1259"/>
      <c r="Q874" s="1259"/>
      <c r="R874" s="1259"/>
      <c r="S874" s="1259"/>
      <c r="T874" s="1259"/>
      <c r="U874" s="1259"/>
      <c r="V874" s="1259"/>
      <c r="W874" s="1259"/>
      <c r="X874" s="1259"/>
      <c r="Y874" s="1259"/>
      <c r="Z874" s="1259"/>
    </row>
    <row r="875" spans="1:26" ht="15.75" customHeight="1">
      <c r="A875" s="1259"/>
      <c r="B875" s="1259"/>
      <c r="C875" s="1259"/>
      <c r="D875" s="1259"/>
      <c r="E875" s="1259"/>
      <c r="F875" s="1259"/>
      <c r="G875" s="1259"/>
      <c r="H875" s="1259"/>
      <c r="I875" s="1259"/>
      <c r="J875" s="1259"/>
      <c r="K875" s="1259"/>
      <c r="L875" s="1259"/>
      <c r="M875" s="1259"/>
      <c r="N875" s="1259"/>
      <c r="O875" s="1259"/>
      <c r="P875" s="1259"/>
      <c r="Q875" s="1259"/>
      <c r="R875" s="1259"/>
      <c r="S875" s="1259"/>
      <c r="T875" s="1259"/>
      <c r="U875" s="1259"/>
      <c r="V875" s="1259"/>
      <c r="W875" s="1259"/>
      <c r="X875" s="1259"/>
      <c r="Y875" s="1259"/>
      <c r="Z875" s="1259"/>
    </row>
    <row r="876" spans="1:26" ht="15.75" customHeight="1">
      <c r="A876" s="1259"/>
      <c r="B876" s="1259"/>
      <c r="C876" s="1259"/>
      <c r="D876" s="1259"/>
      <c r="E876" s="1259"/>
      <c r="F876" s="1259"/>
      <c r="G876" s="1259"/>
      <c r="H876" s="1259"/>
      <c r="I876" s="1259"/>
      <c r="J876" s="1259"/>
      <c r="K876" s="1259"/>
      <c r="L876" s="1259"/>
      <c r="M876" s="1259"/>
      <c r="N876" s="1259"/>
      <c r="O876" s="1259"/>
      <c r="P876" s="1259"/>
      <c r="Q876" s="1259"/>
      <c r="R876" s="1259"/>
      <c r="S876" s="1259"/>
      <c r="T876" s="1259"/>
      <c r="U876" s="1259"/>
      <c r="V876" s="1259"/>
      <c r="W876" s="1259"/>
      <c r="X876" s="1259"/>
      <c r="Y876" s="1259"/>
      <c r="Z876" s="1259"/>
    </row>
    <row r="877" spans="1:26" ht="15.75" customHeight="1">
      <c r="A877" s="1259"/>
      <c r="B877" s="1259"/>
      <c r="C877" s="1259"/>
      <c r="D877" s="1259"/>
      <c r="E877" s="1259"/>
      <c r="F877" s="1259"/>
      <c r="G877" s="1259"/>
      <c r="H877" s="1259"/>
      <c r="I877" s="1259"/>
      <c r="J877" s="1259"/>
      <c r="K877" s="1259"/>
      <c r="L877" s="1259"/>
      <c r="M877" s="1259"/>
      <c r="N877" s="1259"/>
      <c r="O877" s="1259"/>
      <c r="P877" s="1259"/>
      <c r="Q877" s="1259"/>
      <c r="R877" s="1259"/>
      <c r="S877" s="1259"/>
      <c r="T877" s="1259"/>
      <c r="U877" s="1259"/>
      <c r="V877" s="1259"/>
      <c r="W877" s="1259"/>
      <c r="X877" s="1259"/>
      <c r="Y877" s="1259"/>
      <c r="Z877" s="1259"/>
    </row>
    <row r="878" spans="1:26" ht="15.75" customHeight="1">
      <c r="A878" s="1259"/>
      <c r="B878" s="1259"/>
      <c r="C878" s="1259"/>
      <c r="D878" s="1259"/>
      <c r="E878" s="1259"/>
      <c r="F878" s="1259"/>
      <c r="G878" s="1259"/>
      <c r="H878" s="1259"/>
      <c r="I878" s="1259"/>
      <c r="J878" s="1259"/>
      <c r="K878" s="1259"/>
      <c r="L878" s="1259"/>
      <c r="M878" s="1259"/>
      <c r="N878" s="1259"/>
      <c r="O878" s="1259"/>
      <c r="P878" s="1259"/>
      <c r="Q878" s="1259"/>
      <c r="R878" s="1259"/>
      <c r="S878" s="1259"/>
      <c r="T878" s="1259"/>
      <c r="U878" s="1259"/>
      <c r="V878" s="1259"/>
      <c r="W878" s="1259"/>
      <c r="X878" s="1259"/>
      <c r="Y878" s="1259"/>
      <c r="Z878" s="1259"/>
    </row>
    <row r="879" spans="1:26" ht="15.75" customHeight="1">
      <c r="A879" s="1259"/>
      <c r="B879" s="1259"/>
      <c r="C879" s="1259"/>
      <c r="D879" s="1259"/>
      <c r="E879" s="1259"/>
      <c r="F879" s="1259"/>
      <c r="G879" s="1259"/>
      <c r="H879" s="1259"/>
      <c r="I879" s="1259"/>
      <c r="J879" s="1259"/>
      <c r="K879" s="1259"/>
      <c r="L879" s="1259"/>
      <c r="M879" s="1259"/>
      <c r="N879" s="1259"/>
      <c r="O879" s="1259"/>
      <c r="P879" s="1259"/>
      <c r="Q879" s="1259"/>
      <c r="R879" s="1259"/>
      <c r="S879" s="1259"/>
      <c r="T879" s="1259"/>
      <c r="U879" s="1259"/>
      <c r="V879" s="1259"/>
      <c r="W879" s="1259"/>
      <c r="X879" s="1259"/>
      <c r="Y879" s="1259"/>
      <c r="Z879" s="1259"/>
    </row>
    <row r="880" spans="1:26" ht="15.75" customHeight="1">
      <c r="A880" s="1259"/>
      <c r="B880" s="1259"/>
      <c r="C880" s="1259"/>
      <c r="D880" s="1259"/>
      <c r="E880" s="1259"/>
      <c r="F880" s="1259"/>
      <c r="G880" s="1259"/>
      <c r="H880" s="1259"/>
      <c r="I880" s="1259"/>
      <c r="J880" s="1259"/>
      <c r="K880" s="1259"/>
      <c r="L880" s="1259"/>
      <c r="M880" s="1259"/>
      <c r="N880" s="1259"/>
      <c r="O880" s="1259"/>
      <c r="P880" s="1259"/>
      <c r="Q880" s="1259"/>
      <c r="R880" s="1259"/>
      <c r="S880" s="1259"/>
      <c r="T880" s="1259"/>
      <c r="U880" s="1259"/>
      <c r="V880" s="1259"/>
      <c r="W880" s="1259"/>
      <c r="X880" s="1259"/>
      <c r="Y880" s="1259"/>
      <c r="Z880" s="1259"/>
    </row>
    <row r="881" spans="1:26" ht="15.75" customHeight="1">
      <c r="A881" s="1259"/>
      <c r="B881" s="1259"/>
      <c r="C881" s="1259"/>
      <c r="D881" s="1259"/>
      <c r="E881" s="1259"/>
      <c r="F881" s="1259"/>
      <c r="G881" s="1259"/>
      <c r="H881" s="1259"/>
      <c r="I881" s="1259"/>
      <c r="J881" s="1259"/>
      <c r="K881" s="1259"/>
      <c r="L881" s="1259"/>
      <c r="M881" s="1259"/>
      <c r="N881" s="1259"/>
      <c r="O881" s="1259"/>
      <c r="P881" s="1259"/>
      <c r="Q881" s="1259"/>
      <c r="R881" s="1259"/>
      <c r="S881" s="1259"/>
      <c r="T881" s="1259"/>
      <c r="U881" s="1259"/>
      <c r="V881" s="1259"/>
      <c r="W881" s="1259"/>
      <c r="X881" s="1259"/>
      <c r="Y881" s="1259"/>
      <c r="Z881" s="1259"/>
    </row>
    <row r="882" spans="1:26" ht="15.75" customHeight="1">
      <c r="A882" s="1259"/>
      <c r="B882" s="1259"/>
      <c r="C882" s="1259"/>
      <c r="D882" s="1259"/>
      <c r="E882" s="1259"/>
      <c r="F882" s="1259"/>
      <c r="G882" s="1259"/>
      <c r="H882" s="1259"/>
      <c r="I882" s="1259"/>
      <c r="J882" s="1259"/>
      <c r="K882" s="1259"/>
      <c r="L882" s="1259"/>
      <c r="M882" s="1259"/>
      <c r="N882" s="1259"/>
      <c r="O882" s="1259"/>
      <c r="P882" s="1259"/>
      <c r="Q882" s="1259"/>
      <c r="R882" s="1259"/>
      <c r="S882" s="1259"/>
      <c r="T882" s="1259"/>
      <c r="U882" s="1259"/>
      <c r="V882" s="1259"/>
      <c r="W882" s="1259"/>
      <c r="X882" s="1259"/>
      <c r="Y882" s="1259"/>
      <c r="Z882" s="1259"/>
    </row>
    <row r="883" spans="1:26" ht="15.75" customHeight="1">
      <c r="A883" s="1259"/>
      <c r="B883" s="1259"/>
      <c r="C883" s="1259"/>
      <c r="D883" s="1259"/>
      <c r="E883" s="1259"/>
      <c r="F883" s="1259"/>
      <c r="G883" s="1259"/>
      <c r="H883" s="1259"/>
      <c r="I883" s="1259"/>
      <c r="J883" s="1259"/>
      <c r="K883" s="1259"/>
      <c r="L883" s="1259"/>
      <c r="M883" s="1259"/>
      <c r="N883" s="1259"/>
      <c r="O883" s="1259"/>
      <c r="P883" s="1259"/>
      <c r="Q883" s="1259"/>
      <c r="R883" s="1259"/>
      <c r="S883" s="1259"/>
      <c r="T883" s="1259"/>
      <c r="U883" s="1259"/>
      <c r="V883" s="1259"/>
      <c r="W883" s="1259"/>
      <c r="X883" s="1259"/>
      <c r="Y883" s="1259"/>
      <c r="Z883" s="1259"/>
    </row>
    <row r="884" spans="1:26" ht="15.75" customHeight="1">
      <c r="A884" s="1259"/>
      <c r="B884" s="1259"/>
      <c r="C884" s="1259"/>
      <c r="D884" s="1259"/>
      <c r="E884" s="1259"/>
      <c r="F884" s="1259"/>
      <c r="G884" s="1259"/>
      <c r="H884" s="1259"/>
      <c r="I884" s="1259"/>
      <c r="J884" s="1259"/>
      <c r="K884" s="1259"/>
      <c r="L884" s="1259"/>
      <c r="M884" s="1259"/>
      <c r="N884" s="1259"/>
      <c r="O884" s="1259"/>
      <c r="P884" s="1259"/>
      <c r="Q884" s="1259"/>
      <c r="R884" s="1259"/>
      <c r="S884" s="1259"/>
      <c r="T884" s="1259"/>
      <c r="U884" s="1259"/>
      <c r="V884" s="1259"/>
      <c r="W884" s="1259"/>
      <c r="X884" s="1259"/>
      <c r="Y884" s="1259"/>
      <c r="Z884" s="1259"/>
    </row>
    <row r="885" spans="1:26" ht="15.75" customHeight="1">
      <c r="A885" s="1259"/>
      <c r="B885" s="1259"/>
      <c r="C885" s="1259"/>
      <c r="D885" s="1259"/>
      <c r="E885" s="1259"/>
      <c r="F885" s="1259"/>
      <c r="G885" s="1259"/>
      <c r="H885" s="1259"/>
      <c r="I885" s="1259"/>
      <c r="J885" s="1259"/>
      <c r="K885" s="1259"/>
      <c r="L885" s="1259"/>
      <c r="M885" s="1259"/>
      <c r="N885" s="1259"/>
      <c r="O885" s="1259"/>
      <c r="P885" s="1259"/>
      <c r="Q885" s="1259"/>
      <c r="R885" s="1259"/>
      <c r="S885" s="1259"/>
      <c r="T885" s="1259"/>
      <c r="U885" s="1259"/>
      <c r="V885" s="1259"/>
      <c r="W885" s="1259"/>
      <c r="X885" s="1259"/>
      <c r="Y885" s="1259"/>
      <c r="Z885" s="1259"/>
    </row>
    <row r="886" spans="1:26" ht="15.75" customHeigh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row>
    <row r="887" spans="1:26" ht="15.75" customHeight="1">
      <c r="A887" s="1259"/>
      <c r="B887" s="1259"/>
      <c r="C887" s="1259"/>
      <c r="D887" s="1259"/>
      <c r="E887" s="1259"/>
      <c r="F887" s="1259"/>
      <c r="G887" s="1259"/>
      <c r="H887" s="1259"/>
      <c r="I887" s="1259"/>
      <c r="J887" s="1259"/>
      <c r="K887" s="1259"/>
      <c r="L887" s="1259"/>
      <c r="M887" s="1259"/>
      <c r="N887" s="1259"/>
      <c r="O887" s="1259"/>
      <c r="P887" s="1259"/>
      <c r="Q887" s="1259"/>
      <c r="R887" s="1259"/>
      <c r="S887" s="1259"/>
      <c r="T887" s="1259"/>
      <c r="U887" s="1259"/>
      <c r="V887" s="1259"/>
      <c r="W887" s="1259"/>
      <c r="X887" s="1259"/>
      <c r="Y887" s="1259"/>
      <c r="Z887" s="1259"/>
    </row>
    <row r="888" spans="1:26" ht="15.75" customHeight="1">
      <c r="A888" s="1259"/>
      <c r="B888" s="1259"/>
      <c r="C888" s="1259"/>
      <c r="D888" s="1259"/>
      <c r="E888" s="1259"/>
      <c r="F888" s="1259"/>
      <c r="G888" s="1259"/>
      <c r="H888" s="1259"/>
      <c r="I888" s="1259"/>
      <c r="J888" s="1259"/>
      <c r="K888" s="1259"/>
      <c r="L888" s="1259"/>
      <c r="M888" s="1259"/>
      <c r="N888" s="1259"/>
      <c r="O888" s="1259"/>
      <c r="P888" s="1259"/>
      <c r="Q888" s="1259"/>
      <c r="R888" s="1259"/>
      <c r="S888" s="1259"/>
      <c r="T888" s="1259"/>
      <c r="U888" s="1259"/>
      <c r="V888" s="1259"/>
      <c r="W888" s="1259"/>
      <c r="X888" s="1259"/>
      <c r="Y888" s="1259"/>
      <c r="Z888" s="1259"/>
    </row>
    <row r="889" spans="1:26" ht="15.75" customHeight="1">
      <c r="A889" s="1259"/>
      <c r="B889" s="1259"/>
      <c r="C889" s="1259"/>
      <c r="D889" s="1259"/>
      <c r="E889" s="1259"/>
      <c r="F889" s="1259"/>
      <c r="G889" s="1259"/>
      <c r="H889" s="1259"/>
      <c r="I889" s="1259"/>
      <c r="J889" s="1259"/>
      <c r="K889" s="1259"/>
      <c r="L889" s="1259"/>
      <c r="M889" s="1259"/>
      <c r="N889" s="1259"/>
      <c r="O889" s="1259"/>
      <c r="P889" s="1259"/>
      <c r="Q889" s="1259"/>
      <c r="R889" s="1259"/>
      <c r="S889" s="1259"/>
      <c r="T889" s="1259"/>
      <c r="U889" s="1259"/>
      <c r="V889" s="1259"/>
      <c r="W889" s="1259"/>
      <c r="X889" s="1259"/>
      <c r="Y889" s="1259"/>
      <c r="Z889" s="1259"/>
    </row>
    <row r="890" spans="1:26" ht="15.75" customHeight="1">
      <c r="A890" s="1259"/>
      <c r="B890" s="1259"/>
      <c r="C890" s="1259"/>
      <c r="D890" s="1259"/>
      <c r="E890" s="1259"/>
      <c r="F890" s="1259"/>
      <c r="G890" s="1259"/>
      <c r="H890" s="1259"/>
      <c r="I890" s="1259"/>
      <c r="J890" s="1259"/>
      <c r="K890" s="1259"/>
      <c r="L890" s="1259"/>
      <c r="M890" s="1259"/>
      <c r="N890" s="1259"/>
      <c r="O890" s="1259"/>
      <c r="P890" s="1259"/>
      <c r="Q890" s="1259"/>
      <c r="R890" s="1259"/>
      <c r="S890" s="1259"/>
      <c r="T890" s="1259"/>
      <c r="U890" s="1259"/>
      <c r="V890" s="1259"/>
      <c r="W890" s="1259"/>
      <c r="X890" s="1259"/>
      <c r="Y890" s="1259"/>
      <c r="Z890" s="1259"/>
    </row>
    <row r="891" spans="1:26" ht="15.75" customHeight="1">
      <c r="A891" s="1259"/>
      <c r="B891" s="1259"/>
      <c r="C891" s="1259"/>
      <c r="D891" s="1259"/>
      <c r="E891" s="1259"/>
      <c r="F891" s="1259"/>
      <c r="G891" s="1259"/>
      <c r="H891" s="1259"/>
      <c r="I891" s="1259"/>
      <c r="J891" s="1259"/>
      <c r="K891" s="1259"/>
      <c r="L891" s="1259"/>
      <c r="M891" s="1259"/>
      <c r="N891" s="1259"/>
      <c r="O891" s="1259"/>
      <c r="P891" s="1259"/>
      <c r="Q891" s="1259"/>
      <c r="R891" s="1259"/>
      <c r="S891" s="1259"/>
      <c r="T891" s="1259"/>
      <c r="U891" s="1259"/>
      <c r="V891" s="1259"/>
      <c r="W891" s="1259"/>
      <c r="X891" s="1259"/>
      <c r="Y891" s="1259"/>
      <c r="Z891" s="1259"/>
    </row>
    <row r="892" spans="1:26" ht="15.75" customHeight="1">
      <c r="A892" s="1259"/>
      <c r="B892" s="1259"/>
      <c r="C892" s="1259"/>
      <c r="D892" s="1259"/>
      <c r="E892" s="1259"/>
      <c r="F892" s="1259"/>
      <c r="G892" s="1259"/>
      <c r="H892" s="1259"/>
      <c r="I892" s="1259"/>
      <c r="J892" s="1259"/>
      <c r="K892" s="1259"/>
      <c r="L892" s="1259"/>
      <c r="M892" s="1259"/>
      <c r="N892" s="1259"/>
      <c r="O892" s="1259"/>
      <c r="P892" s="1259"/>
      <c r="Q892" s="1259"/>
      <c r="R892" s="1259"/>
      <c r="S892" s="1259"/>
      <c r="T892" s="1259"/>
      <c r="U892" s="1259"/>
      <c r="V892" s="1259"/>
      <c r="W892" s="1259"/>
      <c r="X892" s="1259"/>
      <c r="Y892" s="1259"/>
      <c r="Z892" s="1259"/>
    </row>
    <row r="893" spans="1:26" ht="15.75" customHeight="1">
      <c r="A893" s="1259"/>
      <c r="B893" s="1259"/>
      <c r="C893" s="1259"/>
      <c r="D893" s="1259"/>
      <c r="E893" s="1259"/>
      <c r="F893" s="1259"/>
      <c r="G893" s="1259"/>
      <c r="H893" s="1259"/>
      <c r="I893" s="1259"/>
      <c r="J893" s="1259"/>
      <c r="K893" s="1259"/>
      <c r="L893" s="1259"/>
      <c r="M893" s="1259"/>
      <c r="N893" s="1259"/>
      <c r="O893" s="1259"/>
      <c r="P893" s="1259"/>
      <c r="Q893" s="1259"/>
      <c r="R893" s="1259"/>
      <c r="S893" s="1259"/>
      <c r="T893" s="1259"/>
      <c r="U893" s="1259"/>
      <c r="V893" s="1259"/>
      <c r="W893" s="1259"/>
      <c r="X893" s="1259"/>
      <c r="Y893" s="1259"/>
      <c r="Z893" s="1259"/>
    </row>
    <row r="894" spans="1:26" ht="15.75" customHeight="1">
      <c r="A894" s="1259"/>
      <c r="B894" s="1259"/>
      <c r="C894" s="1259"/>
      <c r="D894" s="1259"/>
      <c r="E894" s="1259"/>
      <c r="F894" s="1259"/>
      <c r="G894" s="1259"/>
      <c r="H894" s="1259"/>
      <c r="I894" s="1259"/>
      <c r="J894" s="1259"/>
      <c r="K894" s="1259"/>
      <c r="L894" s="1259"/>
      <c r="M894" s="1259"/>
      <c r="N894" s="1259"/>
      <c r="O894" s="1259"/>
      <c r="P894" s="1259"/>
      <c r="Q894" s="1259"/>
      <c r="R894" s="1259"/>
      <c r="S894" s="1259"/>
      <c r="T894" s="1259"/>
      <c r="U894" s="1259"/>
      <c r="V894" s="1259"/>
      <c r="W894" s="1259"/>
      <c r="X894" s="1259"/>
      <c r="Y894" s="1259"/>
      <c r="Z894" s="1259"/>
    </row>
    <row r="895" spans="1:26" ht="15.75" customHeight="1">
      <c r="A895" s="1259"/>
      <c r="B895" s="1259"/>
      <c r="C895" s="1259"/>
      <c r="D895" s="1259"/>
      <c r="E895" s="1259"/>
      <c r="F895" s="1259"/>
      <c r="G895" s="1259"/>
      <c r="H895" s="1259"/>
      <c r="I895" s="1259"/>
      <c r="J895" s="1259"/>
      <c r="K895" s="1259"/>
      <c r="L895" s="1259"/>
      <c r="M895" s="1259"/>
      <c r="N895" s="1259"/>
      <c r="O895" s="1259"/>
      <c r="P895" s="1259"/>
      <c r="Q895" s="1259"/>
      <c r="R895" s="1259"/>
      <c r="S895" s="1259"/>
      <c r="T895" s="1259"/>
      <c r="U895" s="1259"/>
      <c r="V895" s="1259"/>
      <c r="W895" s="1259"/>
      <c r="X895" s="1259"/>
      <c r="Y895" s="1259"/>
      <c r="Z895" s="1259"/>
    </row>
    <row r="896" spans="1:26" ht="15.75" customHeight="1">
      <c r="A896" s="1259"/>
      <c r="B896" s="1259"/>
      <c r="C896" s="1259"/>
      <c r="D896" s="1259"/>
      <c r="E896" s="1259"/>
      <c r="F896" s="1259"/>
      <c r="G896" s="1259"/>
      <c r="H896" s="1259"/>
      <c r="I896" s="1259"/>
      <c r="J896" s="1259"/>
      <c r="K896" s="1259"/>
      <c r="L896" s="1259"/>
      <c r="M896" s="1259"/>
      <c r="N896" s="1259"/>
      <c r="O896" s="1259"/>
      <c r="P896" s="1259"/>
      <c r="Q896" s="1259"/>
      <c r="R896" s="1259"/>
      <c r="S896" s="1259"/>
      <c r="T896" s="1259"/>
      <c r="U896" s="1259"/>
      <c r="V896" s="1259"/>
      <c r="W896" s="1259"/>
      <c r="X896" s="1259"/>
      <c r="Y896" s="1259"/>
      <c r="Z896" s="1259"/>
    </row>
    <row r="897" spans="1:26" ht="15.75" customHeight="1">
      <c r="A897" s="1259"/>
      <c r="B897" s="1259"/>
      <c r="C897" s="1259"/>
      <c r="D897" s="1259"/>
      <c r="E897" s="1259"/>
      <c r="F897" s="1259"/>
      <c r="G897" s="1259"/>
      <c r="H897" s="1259"/>
      <c r="I897" s="1259"/>
      <c r="J897" s="1259"/>
      <c r="K897" s="1259"/>
      <c r="L897" s="1259"/>
      <c r="M897" s="1259"/>
      <c r="N897" s="1259"/>
      <c r="O897" s="1259"/>
      <c r="P897" s="1259"/>
      <c r="Q897" s="1259"/>
      <c r="R897" s="1259"/>
      <c r="S897" s="1259"/>
      <c r="T897" s="1259"/>
      <c r="U897" s="1259"/>
      <c r="V897" s="1259"/>
      <c r="W897" s="1259"/>
      <c r="X897" s="1259"/>
      <c r="Y897" s="1259"/>
      <c r="Z897" s="1259"/>
    </row>
    <row r="898" spans="1:26" ht="15.75" customHeight="1">
      <c r="A898" s="1259"/>
      <c r="B898" s="1259"/>
      <c r="C898" s="1259"/>
      <c r="D898" s="1259"/>
      <c r="E898" s="1259"/>
      <c r="F898" s="1259"/>
      <c r="G898" s="1259"/>
      <c r="H898" s="1259"/>
      <c r="I898" s="1259"/>
      <c r="J898" s="1259"/>
      <c r="K898" s="1259"/>
      <c r="L898" s="1259"/>
      <c r="M898" s="1259"/>
      <c r="N898" s="1259"/>
      <c r="O898" s="1259"/>
      <c r="P898" s="1259"/>
      <c r="Q898" s="1259"/>
      <c r="R898" s="1259"/>
      <c r="S898" s="1259"/>
      <c r="T898" s="1259"/>
      <c r="U898" s="1259"/>
      <c r="V898" s="1259"/>
      <c r="W898" s="1259"/>
      <c r="X898" s="1259"/>
      <c r="Y898" s="1259"/>
      <c r="Z898" s="1259"/>
    </row>
    <row r="899" spans="1:26" ht="15.75" customHeight="1">
      <c r="A899" s="1259"/>
      <c r="B899" s="1259"/>
      <c r="C899" s="1259"/>
      <c r="D899" s="1259"/>
      <c r="E899" s="1259"/>
      <c r="F899" s="1259"/>
      <c r="G899" s="1259"/>
      <c r="H899" s="1259"/>
      <c r="I899" s="1259"/>
      <c r="J899" s="1259"/>
      <c r="K899" s="1259"/>
      <c r="L899" s="1259"/>
      <c r="M899" s="1259"/>
      <c r="N899" s="1259"/>
      <c r="O899" s="1259"/>
      <c r="P899" s="1259"/>
      <c r="Q899" s="1259"/>
      <c r="R899" s="1259"/>
      <c r="S899" s="1259"/>
      <c r="T899" s="1259"/>
      <c r="U899" s="1259"/>
      <c r="V899" s="1259"/>
      <c r="W899" s="1259"/>
      <c r="X899" s="1259"/>
      <c r="Y899" s="1259"/>
      <c r="Z899" s="1259"/>
    </row>
    <row r="900" spans="1:26" ht="15.75" customHeight="1">
      <c r="A900" s="1259"/>
      <c r="B900" s="1259"/>
      <c r="C900" s="1259"/>
      <c r="D900" s="1259"/>
      <c r="E900" s="1259"/>
      <c r="F900" s="1259"/>
      <c r="G900" s="1259"/>
      <c r="H900" s="1259"/>
      <c r="I900" s="1259"/>
      <c r="J900" s="1259"/>
      <c r="K900" s="1259"/>
      <c r="L900" s="1259"/>
      <c r="M900" s="1259"/>
      <c r="N900" s="1259"/>
      <c r="O900" s="1259"/>
      <c r="P900" s="1259"/>
      <c r="Q900" s="1259"/>
      <c r="R900" s="1259"/>
      <c r="S900" s="1259"/>
      <c r="T900" s="1259"/>
      <c r="U900" s="1259"/>
      <c r="V900" s="1259"/>
      <c r="W900" s="1259"/>
      <c r="X900" s="1259"/>
      <c r="Y900" s="1259"/>
      <c r="Z900" s="1259"/>
    </row>
    <row r="901" spans="1:26" ht="15.75" customHeight="1">
      <c r="A901" s="1259"/>
      <c r="B901" s="1259"/>
      <c r="C901" s="1259"/>
      <c r="D901" s="1259"/>
      <c r="E901" s="1259"/>
      <c r="F901" s="1259"/>
      <c r="G901" s="1259"/>
      <c r="H901" s="1259"/>
      <c r="I901" s="1259"/>
      <c r="J901" s="1259"/>
      <c r="K901" s="1259"/>
      <c r="L901" s="1259"/>
      <c r="M901" s="1259"/>
      <c r="N901" s="1259"/>
      <c r="O901" s="1259"/>
      <c r="P901" s="1259"/>
      <c r="Q901" s="1259"/>
      <c r="R901" s="1259"/>
      <c r="S901" s="1259"/>
      <c r="T901" s="1259"/>
      <c r="U901" s="1259"/>
      <c r="V901" s="1259"/>
      <c r="W901" s="1259"/>
      <c r="X901" s="1259"/>
      <c r="Y901" s="1259"/>
      <c r="Z901" s="1259"/>
    </row>
    <row r="902" spans="1:26" ht="15.75" customHeight="1">
      <c r="A902" s="1259"/>
      <c r="B902" s="1259"/>
      <c r="C902" s="1259"/>
      <c r="D902" s="1259"/>
      <c r="E902" s="1259"/>
      <c r="F902" s="1259"/>
      <c r="G902" s="1259"/>
      <c r="H902" s="1259"/>
      <c r="I902" s="1259"/>
      <c r="J902" s="1259"/>
      <c r="K902" s="1259"/>
      <c r="L902" s="1259"/>
      <c r="M902" s="1259"/>
      <c r="N902" s="1259"/>
      <c r="O902" s="1259"/>
      <c r="P902" s="1259"/>
      <c r="Q902" s="1259"/>
      <c r="R902" s="1259"/>
      <c r="S902" s="1259"/>
      <c r="T902" s="1259"/>
      <c r="U902" s="1259"/>
      <c r="V902" s="1259"/>
      <c r="W902" s="1259"/>
      <c r="X902" s="1259"/>
      <c r="Y902" s="1259"/>
      <c r="Z902" s="1259"/>
    </row>
    <row r="903" spans="1:26" ht="15.75" customHeight="1">
      <c r="A903" s="1259"/>
      <c r="B903" s="1259"/>
      <c r="C903" s="1259"/>
      <c r="D903" s="1259"/>
      <c r="E903" s="1259"/>
      <c r="F903" s="1259"/>
      <c r="G903" s="1259"/>
      <c r="H903" s="1259"/>
      <c r="I903" s="1259"/>
      <c r="J903" s="1259"/>
      <c r="K903" s="1259"/>
      <c r="L903" s="1259"/>
      <c r="M903" s="1259"/>
      <c r="N903" s="1259"/>
      <c r="O903" s="1259"/>
      <c r="P903" s="1259"/>
      <c r="Q903" s="1259"/>
      <c r="R903" s="1259"/>
      <c r="S903" s="1259"/>
      <c r="T903" s="1259"/>
      <c r="U903" s="1259"/>
      <c r="V903" s="1259"/>
      <c r="W903" s="1259"/>
      <c r="X903" s="1259"/>
      <c r="Y903" s="1259"/>
      <c r="Z903" s="1259"/>
    </row>
    <row r="904" spans="1:26" ht="15.75" customHeight="1">
      <c r="A904" s="1259"/>
      <c r="B904" s="1259"/>
      <c r="C904" s="1259"/>
      <c r="D904" s="1259"/>
      <c r="E904" s="1259"/>
      <c r="F904" s="1259"/>
      <c r="G904" s="1259"/>
      <c r="H904" s="1259"/>
      <c r="I904" s="1259"/>
      <c r="J904" s="1259"/>
      <c r="K904" s="1259"/>
      <c r="L904" s="1259"/>
      <c r="M904" s="1259"/>
      <c r="N904" s="1259"/>
      <c r="O904" s="1259"/>
      <c r="P904" s="1259"/>
      <c r="Q904" s="1259"/>
      <c r="R904" s="1259"/>
      <c r="S904" s="1259"/>
      <c r="T904" s="1259"/>
      <c r="U904" s="1259"/>
      <c r="V904" s="1259"/>
      <c r="W904" s="1259"/>
      <c r="X904" s="1259"/>
      <c r="Y904" s="1259"/>
      <c r="Z904" s="1259"/>
    </row>
    <row r="905" spans="1:26" ht="15.75" customHeight="1">
      <c r="A905" s="1259"/>
      <c r="B905" s="1259"/>
      <c r="C905" s="1259"/>
      <c r="D905" s="1259"/>
      <c r="E905" s="1259"/>
      <c r="F905" s="1259"/>
      <c r="G905" s="1259"/>
      <c r="H905" s="1259"/>
      <c r="I905" s="1259"/>
      <c r="J905" s="1259"/>
      <c r="K905" s="1259"/>
      <c r="L905" s="1259"/>
      <c r="M905" s="1259"/>
      <c r="N905" s="1259"/>
      <c r="O905" s="1259"/>
      <c r="P905" s="1259"/>
      <c r="Q905" s="1259"/>
      <c r="R905" s="1259"/>
      <c r="S905" s="1259"/>
      <c r="T905" s="1259"/>
      <c r="U905" s="1259"/>
      <c r="V905" s="1259"/>
      <c r="W905" s="1259"/>
      <c r="X905" s="1259"/>
      <c r="Y905" s="1259"/>
      <c r="Z905" s="1259"/>
    </row>
    <row r="906" spans="1:26" ht="15.75" customHeight="1">
      <c r="A906" s="1259"/>
      <c r="B906" s="1259"/>
      <c r="C906" s="1259"/>
      <c r="D906" s="1259"/>
      <c r="E906" s="1259"/>
      <c r="F906" s="1259"/>
      <c r="G906" s="1259"/>
      <c r="H906" s="1259"/>
      <c r="I906" s="1259"/>
      <c r="J906" s="1259"/>
      <c r="K906" s="1259"/>
      <c r="L906" s="1259"/>
      <c r="M906" s="1259"/>
      <c r="N906" s="1259"/>
      <c r="O906" s="1259"/>
      <c r="P906" s="1259"/>
      <c r="Q906" s="1259"/>
      <c r="R906" s="1259"/>
      <c r="S906" s="1259"/>
      <c r="T906" s="1259"/>
      <c r="U906" s="1259"/>
      <c r="V906" s="1259"/>
      <c r="W906" s="1259"/>
      <c r="X906" s="1259"/>
      <c r="Y906" s="1259"/>
      <c r="Z906" s="1259"/>
    </row>
    <row r="907" spans="1:26" ht="15.75" customHeight="1">
      <c r="A907" s="1259"/>
      <c r="B907" s="1259"/>
      <c r="C907" s="1259"/>
      <c r="D907" s="1259"/>
      <c r="E907" s="1259"/>
      <c r="F907" s="1259"/>
      <c r="G907" s="1259"/>
      <c r="H907" s="1259"/>
      <c r="I907" s="1259"/>
      <c r="J907" s="1259"/>
      <c r="K907" s="1259"/>
      <c r="L907" s="1259"/>
      <c r="M907" s="1259"/>
      <c r="N907" s="1259"/>
      <c r="O907" s="1259"/>
      <c r="P907" s="1259"/>
      <c r="Q907" s="1259"/>
      <c r="R907" s="1259"/>
      <c r="S907" s="1259"/>
      <c r="T907" s="1259"/>
      <c r="U907" s="1259"/>
      <c r="V907" s="1259"/>
      <c r="W907" s="1259"/>
      <c r="X907" s="1259"/>
      <c r="Y907" s="1259"/>
      <c r="Z907" s="1259"/>
    </row>
    <row r="908" spans="1:26" ht="15.75" customHeight="1">
      <c r="A908" s="1259"/>
      <c r="B908" s="1259"/>
      <c r="C908" s="1259"/>
      <c r="D908" s="1259"/>
      <c r="E908" s="1259"/>
      <c r="F908" s="1259"/>
      <c r="G908" s="1259"/>
      <c r="H908" s="1259"/>
      <c r="I908" s="1259"/>
      <c r="J908" s="1259"/>
      <c r="K908" s="1259"/>
      <c r="L908" s="1259"/>
      <c r="M908" s="1259"/>
      <c r="N908" s="1259"/>
      <c r="O908" s="1259"/>
      <c r="P908" s="1259"/>
      <c r="Q908" s="1259"/>
      <c r="R908" s="1259"/>
      <c r="S908" s="1259"/>
      <c r="T908" s="1259"/>
      <c r="U908" s="1259"/>
      <c r="V908" s="1259"/>
      <c r="W908" s="1259"/>
      <c r="X908" s="1259"/>
      <c r="Y908" s="1259"/>
      <c r="Z908" s="1259"/>
    </row>
    <row r="909" spans="1:26" ht="15.75" customHeight="1">
      <c r="A909" s="1259"/>
      <c r="B909" s="1259"/>
      <c r="C909" s="1259"/>
      <c r="D909" s="1259"/>
      <c r="E909" s="1259"/>
      <c r="F909" s="1259"/>
      <c r="G909" s="1259"/>
      <c r="H909" s="1259"/>
      <c r="I909" s="1259"/>
      <c r="J909" s="1259"/>
      <c r="K909" s="1259"/>
      <c r="L909" s="1259"/>
      <c r="M909" s="1259"/>
      <c r="N909" s="1259"/>
      <c r="O909" s="1259"/>
      <c r="P909" s="1259"/>
      <c r="Q909" s="1259"/>
      <c r="R909" s="1259"/>
      <c r="S909" s="1259"/>
      <c r="T909" s="1259"/>
      <c r="U909" s="1259"/>
      <c r="V909" s="1259"/>
      <c r="W909" s="1259"/>
      <c r="X909" s="1259"/>
      <c r="Y909" s="1259"/>
      <c r="Z909" s="1259"/>
    </row>
    <row r="910" spans="1:26" ht="15.75" customHeight="1">
      <c r="A910" s="1259"/>
      <c r="B910" s="1259"/>
      <c r="C910" s="1259"/>
      <c r="D910" s="1259"/>
      <c r="E910" s="1259"/>
      <c r="F910" s="1259"/>
      <c r="G910" s="1259"/>
      <c r="H910" s="1259"/>
      <c r="I910" s="1259"/>
      <c r="J910" s="1259"/>
      <c r="K910" s="1259"/>
      <c r="L910" s="1259"/>
      <c r="M910" s="1259"/>
      <c r="N910" s="1259"/>
      <c r="O910" s="1259"/>
      <c r="P910" s="1259"/>
      <c r="Q910" s="1259"/>
      <c r="R910" s="1259"/>
      <c r="S910" s="1259"/>
      <c r="T910" s="1259"/>
      <c r="U910" s="1259"/>
      <c r="V910" s="1259"/>
      <c r="W910" s="1259"/>
      <c r="X910" s="1259"/>
      <c r="Y910" s="1259"/>
      <c r="Z910" s="1259"/>
    </row>
    <row r="911" spans="1:26" ht="15.75" customHeight="1">
      <c r="A911" s="1259"/>
      <c r="B911" s="1259"/>
      <c r="C911" s="1259"/>
      <c r="D911" s="1259"/>
      <c r="E911" s="1259"/>
      <c r="F911" s="1259"/>
      <c r="G911" s="1259"/>
      <c r="H911" s="1259"/>
      <c r="I911" s="1259"/>
      <c r="J911" s="1259"/>
      <c r="K911" s="1259"/>
      <c r="L911" s="1259"/>
      <c r="M911" s="1259"/>
      <c r="N911" s="1259"/>
      <c r="O911" s="1259"/>
      <c r="P911" s="1259"/>
      <c r="Q911" s="1259"/>
      <c r="R911" s="1259"/>
      <c r="S911" s="1259"/>
      <c r="T911" s="1259"/>
      <c r="U911" s="1259"/>
      <c r="V911" s="1259"/>
      <c r="W911" s="1259"/>
      <c r="X911" s="1259"/>
      <c r="Y911" s="1259"/>
      <c r="Z911" s="1259"/>
    </row>
    <row r="912" spans="1:26" ht="15.75" customHeight="1">
      <c r="A912" s="1259"/>
      <c r="B912" s="1259"/>
      <c r="C912" s="1259"/>
      <c r="D912" s="1259"/>
      <c r="E912" s="1259"/>
      <c r="F912" s="1259"/>
      <c r="G912" s="1259"/>
      <c r="H912" s="1259"/>
      <c r="I912" s="1259"/>
      <c r="J912" s="1259"/>
      <c r="K912" s="1259"/>
      <c r="L912" s="1259"/>
      <c r="M912" s="1259"/>
      <c r="N912" s="1259"/>
      <c r="O912" s="1259"/>
      <c r="P912" s="1259"/>
      <c r="Q912" s="1259"/>
      <c r="R912" s="1259"/>
      <c r="S912" s="1259"/>
      <c r="T912" s="1259"/>
      <c r="U912" s="1259"/>
      <c r="V912" s="1259"/>
      <c r="W912" s="1259"/>
      <c r="X912" s="1259"/>
      <c r="Y912" s="1259"/>
      <c r="Z912" s="1259"/>
    </row>
    <row r="913" spans="1:26" ht="15.75" customHeight="1">
      <c r="A913" s="1259"/>
      <c r="B913" s="1259"/>
      <c r="C913" s="1259"/>
      <c r="D913" s="1259"/>
      <c r="E913" s="1259"/>
      <c r="F913" s="1259"/>
      <c r="G913" s="1259"/>
      <c r="H913" s="1259"/>
      <c r="I913" s="1259"/>
      <c r="J913" s="1259"/>
      <c r="K913" s="1259"/>
      <c r="L913" s="1259"/>
      <c r="M913" s="1259"/>
      <c r="N913" s="1259"/>
      <c r="O913" s="1259"/>
      <c r="P913" s="1259"/>
      <c r="Q913" s="1259"/>
      <c r="R913" s="1259"/>
      <c r="S913" s="1259"/>
      <c r="T913" s="1259"/>
      <c r="U913" s="1259"/>
      <c r="V913" s="1259"/>
      <c r="W913" s="1259"/>
      <c r="X913" s="1259"/>
      <c r="Y913" s="1259"/>
      <c r="Z913" s="1259"/>
    </row>
    <row r="914" spans="1:26" ht="15.75" customHeight="1">
      <c r="A914" s="1259"/>
      <c r="B914" s="1259"/>
      <c r="C914" s="1259"/>
      <c r="D914" s="1259"/>
      <c r="E914" s="1259"/>
      <c r="F914" s="1259"/>
      <c r="G914" s="1259"/>
      <c r="H914" s="1259"/>
      <c r="I914" s="1259"/>
      <c r="J914" s="1259"/>
      <c r="K914" s="1259"/>
      <c r="L914" s="1259"/>
      <c r="M914" s="1259"/>
      <c r="N914" s="1259"/>
      <c r="O914" s="1259"/>
      <c r="P914" s="1259"/>
      <c r="Q914" s="1259"/>
      <c r="R914" s="1259"/>
      <c r="S914" s="1259"/>
      <c r="T914" s="1259"/>
      <c r="U914" s="1259"/>
      <c r="V914" s="1259"/>
      <c r="W914" s="1259"/>
      <c r="X914" s="1259"/>
      <c r="Y914" s="1259"/>
      <c r="Z914" s="1259"/>
    </row>
    <row r="915" spans="1:26" ht="15.75" customHeight="1">
      <c r="A915" s="1259"/>
      <c r="B915" s="1259"/>
      <c r="C915" s="1259"/>
      <c r="D915" s="1259"/>
      <c r="E915" s="1259"/>
      <c r="F915" s="1259"/>
      <c r="G915" s="1259"/>
      <c r="H915" s="1259"/>
      <c r="I915" s="1259"/>
      <c r="J915" s="1259"/>
      <c r="K915" s="1259"/>
      <c r="L915" s="1259"/>
      <c r="M915" s="1259"/>
      <c r="N915" s="1259"/>
      <c r="O915" s="1259"/>
      <c r="P915" s="1259"/>
      <c r="Q915" s="1259"/>
      <c r="R915" s="1259"/>
      <c r="S915" s="1259"/>
      <c r="T915" s="1259"/>
      <c r="U915" s="1259"/>
      <c r="V915" s="1259"/>
      <c r="W915" s="1259"/>
      <c r="X915" s="1259"/>
      <c r="Y915" s="1259"/>
      <c r="Z915" s="1259"/>
    </row>
    <row r="916" spans="1:26" ht="15.75" customHeight="1">
      <c r="A916" s="1259"/>
      <c r="B916" s="1259"/>
      <c r="C916" s="1259"/>
      <c r="D916" s="1259"/>
      <c r="E916" s="1259"/>
      <c r="F916" s="1259"/>
      <c r="G916" s="1259"/>
      <c r="H916" s="1259"/>
      <c r="I916" s="1259"/>
      <c r="J916" s="1259"/>
      <c r="K916" s="1259"/>
      <c r="L916" s="1259"/>
      <c r="M916" s="1259"/>
      <c r="N916" s="1259"/>
      <c r="O916" s="1259"/>
      <c r="P916" s="1259"/>
      <c r="Q916" s="1259"/>
      <c r="R916" s="1259"/>
      <c r="S916" s="1259"/>
      <c r="T916" s="1259"/>
      <c r="U916" s="1259"/>
      <c r="V916" s="1259"/>
      <c r="W916" s="1259"/>
      <c r="X916" s="1259"/>
      <c r="Y916" s="1259"/>
      <c r="Z916" s="1259"/>
    </row>
    <row r="917" spans="1:26" ht="15.75" customHeight="1">
      <c r="A917" s="1259"/>
      <c r="B917" s="1259"/>
      <c r="C917" s="1259"/>
      <c r="D917" s="1259"/>
      <c r="E917" s="1259"/>
      <c r="F917" s="1259"/>
      <c r="G917" s="1259"/>
      <c r="H917" s="1259"/>
      <c r="I917" s="1259"/>
      <c r="J917" s="1259"/>
      <c r="K917" s="1259"/>
      <c r="L917" s="1259"/>
      <c r="M917" s="1259"/>
      <c r="N917" s="1259"/>
      <c r="O917" s="1259"/>
      <c r="P917" s="1259"/>
      <c r="Q917" s="1259"/>
      <c r="R917" s="1259"/>
      <c r="S917" s="1259"/>
      <c r="T917" s="1259"/>
      <c r="U917" s="1259"/>
      <c r="V917" s="1259"/>
      <c r="W917" s="1259"/>
      <c r="X917" s="1259"/>
      <c r="Y917" s="1259"/>
      <c r="Z917" s="1259"/>
    </row>
    <row r="918" spans="1:26" ht="15.75" customHeight="1">
      <c r="A918" s="1259"/>
      <c r="B918" s="1259"/>
      <c r="C918" s="1259"/>
      <c r="D918" s="1259"/>
      <c r="E918" s="1259"/>
      <c r="F918" s="1259"/>
      <c r="G918" s="1259"/>
      <c r="H918" s="1259"/>
      <c r="I918" s="1259"/>
      <c r="J918" s="1259"/>
      <c r="K918" s="1259"/>
      <c r="L918" s="1259"/>
      <c r="M918" s="1259"/>
      <c r="N918" s="1259"/>
      <c r="O918" s="1259"/>
      <c r="P918" s="1259"/>
      <c r="Q918" s="1259"/>
      <c r="R918" s="1259"/>
      <c r="S918" s="1259"/>
      <c r="T918" s="1259"/>
      <c r="U918" s="1259"/>
      <c r="V918" s="1259"/>
      <c r="W918" s="1259"/>
      <c r="X918" s="1259"/>
      <c r="Y918" s="1259"/>
      <c r="Z918" s="1259"/>
    </row>
    <row r="919" spans="1:26" ht="15.75" customHeight="1">
      <c r="A919" s="1259"/>
      <c r="B919" s="1259"/>
      <c r="C919" s="1259"/>
      <c r="D919" s="1259"/>
      <c r="E919" s="1259"/>
      <c r="F919" s="1259"/>
      <c r="G919" s="1259"/>
      <c r="H919" s="1259"/>
      <c r="I919" s="1259"/>
      <c r="J919" s="1259"/>
      <c r="K919" s="1259"/>
      <c r="L919" s="1259"/>
      <c r="M919" s="1259"/>
      <c r="N919" s="1259"/>
      <c r="O919" s="1259"/>
      <c r="P919" s="1259"/>
      <c r="Q919" s="1259"/>
      <c r="R919" s="1259"/>
      <c r="S919" s="1259"/>
      <c r="T919" s="1259"/>
      <c r="U919" s="1259"/>
      <c r="V919" s="1259"/>
      <c r="W919" s="1259"/>
      <c r="X919" s="1259"/>
      <c r="Y919" s="1259"/>
      <c r="Z919" s="1259"/>
    </row>
    <row r="920" spans="1:26" ht="15.75" customHeight="1">
      <c r="A920" s="1259"/>
      <c r="B920" s="1259"/>
      <c r="C920" s="1259"/>
      <c r="D920" s="1259"/>
      <c r="E920" s="1259"/>
      <c r="F920" s="1259"/>
      <c r="G920" s="1259"/>
      <c r="H920" s="1259"/>
      <c r="I920" s="1259"/>
      <c r="J920" s="1259"/>
      <c r="K920" s="1259"/>
      <c r="L920" s="1259"/>
      <c r="M920" s="1259"/>
      <c r="N920" s="1259"/>
      <c r="O920" s="1259"/>
      <c r="P920" s="1259"/>
      <c r="Q920" s="1259"/>
      <c r="R920" s="1259"/>
      <c r="S920" s="1259"/>
      <c r="T920" s="1259"/>
      <c r="U920" s="1259"/>
      <c r="V920" s="1259"/>
      <c r="W920" s="1259"/>
      <c r="X920" s="1259"/>
      <c r="Y920" s="1259"/>
      <c r="Z920" s="1259"/>
    </row>
    <row r="921" spans="1:26" ht="15.75" customHeight="1">
      <c r="A921" s="1259"/>
      <c r="B921" s="1259"/>
      <c r="C921" s="1259"/>
      <c r="D921" s="1259"/>
      <c r="E921" s="1259"/>
      <c r="F921" s="1259"/>
      <c r="G921" s="1259"/>
      <c r="H921" s="1259"/>
      <c r="I921" s="1259"/>
      <c r="J921" s="1259"/>
      <c r="K921" s="1259"/>
      <c r="L921" s="1259"/>
      <c r="M921" s="1259"/>
      <c r="N921" s="1259"/>
      <c r="O921" s="1259"/>
      <c r="P921" s="1259"/>
      <c r="Q921" s="1259"/>
      <c r="R921" s="1259"/>
      <c r="S921" s="1259"/>
      <c r="T921" s="1259"/>
      <c r="U921" s="1259"/>
      <c r="V921" s="1259"/>
      <c r="W921" s="1259"/>
      <c r="X921" s="1259"/>
      <c r="Y921" s="1259"/>
      <c r="Z921" s="1259"/>
    </row>
    <row r="922" spans="1:26" ht="15.75" customHeight="1">
      <c r="A922" s="1259"/>
      <c r="B922" s="1259"/>
      <c r="C922" s="1259"/>
      <c r="D922" s="1259"/>
      <c r="E922" s="1259"/>
      <c r="F922" s="1259"/>
      <c r="G922" s="1259"/>
      <c r="H922" s="1259"/>
      <c r="I922" s="1259"/>
      <c r="J922" s="1259"/>
      <c r="K922" s="1259"/>
      <c r="L922" s="1259"/>
      <c r="M922" s="1259"/>
      <c r="N922" s="1259"/>
      <c r="O922" s="1259"/>
      <c r="P922" s="1259"/>
      <c r="Q922" s="1259"/>
      <c r="R922" s="1259"/>
      <c r="S922" s="1259"/>
      <c r="T922" s="1259"/>
      <c r="U922" s="1259"/>
      <c r="V922" s="1259"/>
      <c r="W922" s="1259"/>
      <c r="X922" s="1259"/>
      <c r="Y922" s="1259"/>
      <c r="Z922" s="1259"/>
    </row>
    <row r="923" spans="1:26" ht="15.75" customHeight="1">
      <c r="A923" s="1259"/>
      <c r="B923" s="1259"/>
      <c r="C923" s="1259"/>
      <c r="D923" s="1259"/>
      <c r="E923" s="1259"/>
      <c r="F923" s="1259"/>
      <c r="G923" s="1259"/>
      <c r="H923" s="1259"/>
      <c r="I923" s="1259"/>
      <c r="J923" s="1259"/>
      <c r="K923" s="1259"/>
      <c r="L923" s="1259"/>
      <c r="M923" s="1259"/>
      <c r="N923" s="1259"/>
      <c r="O923" s="1259"/>
      <c r="P923" s="1259"/>
      <c r="Q923" s="1259"/>
      <c r="R923" s="1259"/>
      <c r="S923" s="1259"/>
      <c r="T923" s="1259"/>
      <c r="U923" s="1259"/>
      <c r="V923" s="1259"/>
      <c r="W923" s="1259"/>
      <c r="X923" s="1259"/>
      <c r="Y923" s="1259"/>
      <c r="Z923" s="1259"/>
    </row>
    <row r="924" spans="1:26" ht="15.75" customHeight="1">
      <c r="A924" s="1259"/>
      <c r="B924" s="1259"/>
      <c r="C924" s="1259"/>
      <c r="D924" s="1259"/>
      <c r="E924" s="1259"/>
      <c r="F924" s="1259"/>
      <c r="G924" s="1259"/>
      <c r="H924" s="1259"/>
      <c r="I924" s="1259"/>
      <c r="J924" s="1259"/>
      <c r="K924" s="1259"/>
      <c r="L924" s="1259"/>
      <c r="M924" s="1259"/>
      <c r="N924" s="1259"/>
      <c r="O924" s="1259"/>
      <c r="P924" s="1259"/>
      <c r="Q924" s="1259"/>
      <c r="R924" s="1259"/>
      <c r="S924" s="1259"/>
      <c r="T924" s="1259"/>
      <c r="U924" s="1259"/>
      <c r="V924" s="1259"/>
      <c r="W924" s="1259"/>
      <c r="X924" s="1259"/>
      <c r="Y924" s="1259"/>
      <c r="Z924" s="1259"/>
    </row>
    <row r="925" spans="1:26" ht="15.75" customHeight="1">
      <c r="A925" s="1259"/>
      <c r="B925" s="1259"/>
      <c r="C925" s="1259"/>
      <c r="D925" s="1259"/>
      <c r="E925" s="1259"/>
      <c r="F925" s="1259"/>
      <c r="G925" s="1259"/>
      <c r="H925" s="1259"/>
      <c r="I925" s="1259"/>
      <c r="J925" s="1259"/>
      <c r="K925" s="1259"/>
      <c r="L925" s="1259"/>
      <c r="M925" s="1259"/>
      <c r="N925" s="1259"/>
      <c r="O925" s="1259"/>
      <c r="P925" s="1259"/>
      <c r="Q925" s="1259"/>
      <c r="R925" s="1259"/>
      <c r="S925" s="1259"/>
      <c r="T925" s="1259"/>
      <c r="U925" s="1259"/>
      <c r="V925" s="1259"/>
      <c r="W925" s="1259"/>
      <c r="X925" s="1259"/>
      <c r="Y925" s="1259"/>
      <c r="Z925" s="1259"/>
    </row>
    <row r="926" spans="1:26" ht="15.75" customHeight="1">
      <c r="A926" s="1259"/>
      <c r="B926" s="1259"/>
      <c r="C926" s="1259"/>
      <c r="D926" s="1259"/>
      <c r="E926" s="1259"/>
      <c r="F926" s="1259"/>
      <c r="G926" s="1259"/>
      <c r="H926" s="1259"/>
      <c r="I926" s="1259"/>
      <c r="J926" s="1259"/>
      <c r="K926" s="1259"/>
      <c r="L926" s="1259"/>
      <c r="M926" s="1259"/>
      <c r="N926" s="1259"/>
      <c r="O926" s="1259"/>
      <c r="P926" s="1259"/>
      <c r="Q926" s="1259"/>
      <c r="R926" s="1259"/>
      <c r="S926" s="1259"/>
      <c r="T926" s="1259"/>
      <c r="U926" s="1259"/>
      <c r="V926" s="1259"/>
      <c r="W926" s="1259"/>
      <c r="X926" s="1259"/>
      <c r="Y926" s="1259"/>
      <c r="Z926" s="1259"/>
    </row>
    <row r="927" spans="1:26" ht="15.75" customHeight="1">
      <c r="A927" s="1259"/>
      <c r="B927" s="1259"/>
      <c r="C927" s="1259"/>
      <c r="D927" s="1259"/>
      <c r="E927" s="1259"/>
      <c r="F927" s="1259"/>
      <c r="G927" s="1259"/>
      <c r="H927" s="1259"/>
      <c r="I927" s="1259"/>
      <c r="J927" s="1259"/>
      <c r="K927" s="1259"/>
      <c r="L927" s="1259"/>
      <c r="M927" s="1259"/>
      <c r="N927" s="1259"/>
      <c r="O927" s="1259"/>
      <c r="P927" s="1259"/>
      <c r="Q927" s="1259"/>
      <c r="R927" s="1259"/>
      <c r="S927" s="1259"/>
      <c r="T927" s="1259"/>
      <c r="U927" s="1259"/>
      <c r="V927" s="1259"/>
      <c r="W927" s="1259"/>
      <c r="X927" s="1259"/>
      <c r="Y927" s="1259"/>
      <c r="Z927" s="1259"/>
    </row>
    <row r="928" spans="1:26" ht="15.75" customHeight="1">
      <c r="A928" s="1259"/>
      <c r="B928" s="1259"/>
      <c r="C928" s="1259"/>
      <c r="D928" s="1259"/>
      <c r="E928" s="1259"/>
      <c r="F928" s="1259"/>
      <c r="G928" s="1259"/>
      <c r="H928" s="1259"/>
      <c r="I928" s="1259"/>
      <c r="J928" s="1259"/>
      <c r="K928" s="1259"/>
      <c r="L928" s="1259"/>
      <c r="M928" s="1259"/>
      <c r="N928" s="1259"/>
      <c r="O928" s="1259"/>
      <c r="P928" s="1259"/>
      <c r="Q928" s="1259"/>
      <c r="R928" s="1259"/>
      <c r="S928" s="1259"/>
      <c r="T928" s="1259"/>
      <c r="U928" s="1259"/>
      <c r="V928" s="1259"/>
      <c r="W928" s="1259"/>
      <c r="X928" s="1259"/>
      <c r="Y928" s="1259"/>
      <c r="Z928" s="1259"/>
    </row>
    <row r="929" spans="1:26" ht="15.75" customHeight="1">
      <c r="A929" s="1259"/>
      <c r="B929" s="1259"/>
      <c r="C929" s="1259"/>
      <c r="D929" s="1259"/>
      <c r="E929" s="1259"/>
      <c r="F929" s="1259"/>
      <c r="G929" s="1259"/>
      <c r="H929" s="1259"/>
      <c r="I929" s="1259"/>
      <c r="J929" s="1259"/>
      <c r="K929" s="1259"/>
      <c r="L929" s="1259"/>
      <c r="M929" s="1259"/>
      <c r="N929" s="1259"/>
      <c r="O929" s="1259"/>
      <c r="P929" s="1259"/>
      <c r="Q929" s="1259"/>
      <c r="R929" s="1259"/>
      <c r="S929" s="1259"/>
      <c r="T929" s="1259"/>
      <c r="U929" s="1259"/>
      <c r="V929" s="1259"/>
      <c r="W929" s="1259"/>
      <c r="X929" s="1259"/>
      <c r="Y929" s="1259"/>
      <c r="Z929" s="1259"/>
    </row>
    <row r="930" spans="1:26" ht="15.75" customHeight="1">
      <c r="A930" s="1259"/>
      <c r="B930" s="1259"/>
      <c r="C930" s="1259"/>
      <c r="D930" s="1259"/>
      <c r="E930" s="1259"/>
      <c r="F930" s="1259"/>
      <c r="G930" s="1259"/>
      <c r="H930" s="1259"/>
      <c r="I930" s="1259"/>
      <c r="J930" s="1259"/>
      <c r="K930" s="1259"/>
      <c r="L930" s="1259"/>
      <c r="M930" s="1259"/>
      <c r="N930" s="1259"/>
      <c r="O930" s="1259"/>
      <c r="P930" s="1259"/>
      <c r="Q930" s="1259"/>
      <c r="R930" s="1259"/>
      <c r="S930" s="1259"/>
      <c r="T930" s="1259"/>
      <c r="U930" s="1259"/>
      <c r="V930" s="1259"/>
      <c r="W930" s="1259"/>
      <c r="X930" s="1259"/>
      <c r="Y930" s="1259"/>
      <c r="Z930" s="1259"/>
    </row>
    <row r="931" spans="1:26" ht="15.75" customHeight="1">
      <c r="A931" s="1259"/>
      <c r="B931" s="1259"/>
      <c r="C931" s="1259"/>
      <c r="D931" s="1259"/>
      <c r="E931" s="1259"/>
      <c r="F931" s="1259"/>
      <c r="G931" s="1259"/>
      <c r="H931" s="1259"/>
      <c r="I931" s="1259"/>
      <c r="J931" s="1259"/>
      <c r="K931" s="1259"/>
      <c r="L931" s="1259"/>
      <c r="M931" s="1259"/>
      <c r="N931" s="1259"/>
      <c r="O931" s="1259"/>
      <c r="P931" s="1259"/>
      <c r="Q931" s="1259"/>
      <c r="R931" s="1259"/>
      <c r="S931" s="1259"/>
      <c r="T931" s="1259"/>
      <c r="U931" s="1259"/>
      <c r="V931" s="1259"/>
      <c r="W931" s="1259"/>
      <c r="X931" s="1259"/>
      <c r="Y931" s="1259"/>
      <c r="Z931" s="1259"/>
    </row>
    <row r="932" spans="1:26" ht="15.75" customHeight="1">
      <c r="A932" s="1259"/>
      <c r="B932" s="1259"/>
      <c r="C932" s="1259"/>
      <c r="D932" s="1259"/>
      <c r="E932" s="1259"/>
      <c r="F932" s="1259"/>
      <c r="G932" s="1259"/>
      <c r="H932" s="1259"/>
      <c r="I932" s="1259"/>
      <c r="J932" s="1259"/>
      <c r="K932" s="1259"/>
      <c r="L932" s="1259"/>
      <c r="M932" s="1259"/>
      <c r="N932" s="1259"/>
      <c r="O932" s="1259"/>
      <c r="P932" s="1259"/>
      <c r="Q932" s="1259"/>
      <c r="R932" s="1259"/>
      <c r="S932" s="1259"/>
      <c r="T932" s="1259"/>
      <c r="U932" s="1259"/>
      <c r="V932" s="1259"/>
      <c r="W932" s="1259"/>
      <c r="X932" s="1259"/>
      <c r="Y932" s="1259"/>
      <c r="Z932" s="1259"/>
    </row>
    <row r="933" spans="1:26" ht="15.75" customHeight="1">
      <c r="A933" s="1259"/>
      <c r="B933" s="1259"/>
      <c r="C933" s="1259"/>
      <c r="D933" s="1259"/>
      <c r="E933" s="1259"/>
      <c r="F933" s="1259"/>
      <c r="G933" s="1259"/>
      <c r="H933" s="1259"/>
      <c r="I933" s="1259"/>
      <c r="J933" s="1259"/>
      <c r="K933" s="1259"/>
      <c r="L933" s="1259"/>
      <c r="M933" s="1259"/>
      <c r="N933" s="1259"/>
      <c r="O933" s="1259"/>
      <c r="P933" s="1259"/>
      <c r="Q933" s="1259"/>
      <c r="R933" s="1259"/>
      <c r="S933" s="1259"/>
      <c r="T933" s="1259"/>
      <c r="U933" s="1259"/>
      <c r="V933" s="1259"/>
      <c r="W933" s="1259"/>
      <c r="X933" s="1259"/>
      <c r="Y933" s="1259"/>
      <c r="Z933" s="1259"/>
    </row>
    <row r="934" spans="1:26" ht="15.75" customHeight="1">
      <c r="A934" s="1259"/>
      <c r="B934" s="1259"/>
      <c r="C934" s="1259"/>
      <c r="D934" s="1259"/>
      <c r="E934" s="1259"/>
      <c r="F934" s="1259"/>
      <c r="G934" s="1259"/>
      <c r="H934" s="1259"/>
      <c r="I934" s="1259"/>
      <c r="J934" s="1259"/>
      <c r="K934" s="1259"/>
      <c r="L934" s="1259"/>
      <c r="M934" s="1259"/>
      <c r="N934" s="1259"/>
      <c r="O934" s="1259"/>
      <c r="P934" s="1259"/>
      <c r="Q934" s="1259"/>
      <c r="R934" s="1259"/>
      <c r="S934" s="1259"/>
      <c r="T934" s="1259"/>
      <c r="U934" s="1259"/>
      <c r="V934" s="1259"/>
      <c r="W934" s="1259"/>
      <c r="X934" s="1259"/>
      <c r="Y934" s="1259"/>
      <c r="Z934" s="1259"/>
    </row>
    <row r="935" spans="1:26" ht="15.75" customHeight="1">
      <c r="A935" s="1259"/>
      <c r="B935" s="1259"/>
      <c r="C935" s="1259"/>
      <c r="D935" s="1259"/>
      <c r="E935" s="1259"/>
      <c r="F935" s="1259"/>
      <c r="G935" s="1259"/>
      <c r="H935" s="1259"/>
      <c r="I935" s="1259"/>
      <c r="J935" s="1259"/>
      <c r="K935" s="1259"/>
      <c r="L935" s="1259"/>
      <c r="M935" s="1259"/>
      <c r="N935" s="1259"/>
      <c r="O935" s="1259"/>
      <c r="P935" s="1259"/>
      <c r="Q935" s="1259"/>
      <c r="R935" s="1259"/>
      <c r="S935" s="1259"/>
      <c r="T935" s="1259"/>
      <c r="U935" s="1259"/>
      <c r="V935" s="1259"/>
      <c r="W935" s="1259"/>
      <c r="X935" s="1259"/>
      <c r="Y935" s="1259"/>
      <c r="Z935" s="1259"/>
    </row>
    <row r="936" spans="1:26" ht="15.75" customHeight="1">
      <c r="A936" s="1259"/>
      <c r="B936" s="1259"/>
      <c r="C936" s="1259"/>
      <c r="D936" s="1259"/>
      <c r="E936" s="1259"/>
      <c r="F936" s="1259"/>
      <c r="G936" s="1259"/>
      <c r="H936" s="1259"/>
      <c r="I936" s="1259"/>
      <c r="J936" s="1259"/>
      <c r="K936" s="1259"/>
      <c r="L936" s="1259"/>
      <c r="M936" s="1259"/>
      <c r="N936" s="1259"/>
      <c r="O936" s="1259"/>
      <c r="P936" s="1259"/>
      <c r="Q936" s="1259"/>
      <c r="R936" s="1259"/>
      <c r="S936" s="1259"/>
      <c r="T936" s="1259"/>
      <c r="U936" s="1259"/>
      <c r="V936" s="1259"/>
      <c r="W936" s="1259"/>
      <c r="X936" s="1259"/>
      <c r="Y936" s="1259"/>
      <c r="Z936" s="1259"/>
    </row>
    <row r="937" spans="1:26" ht="15.75" customHeight="1">
      <c r="A937" s="1259"/>
      <c r="B937" s="1259"/>
      <c r="C937" s="1259"/>
      <c r="D937" s="1259"/>
      <c r="E937" s="1259"/>
      <c r="F937" s="1259"/>
      <c r="G937" s="1259"/>
      <c r="H937" s="1259"/>
      <c r="I937" s="1259"/>
      <c r="J937" s="1259"/>
      <c r="K937" s="1259"/>
      <c r="L937" s="1259"/>
      <c r="M937" s="1259"/>
      <c r="N937" s="1259"/>
      <c r="O937" s="1259"/>
      <c r="P937" s="1259"/>
      <c r="Q937" s="1259"/>
      <c r="R937" s="1259"/>
      <c r="S937" s="1259"/>
      <c r="T937" s="1259"/>
      <c r="U937" s="1259"/>
      <c r="V937" s="1259"/>
      <c r="W937" s="1259"/>
      <c r="X937" s="1259"/>
      <c r="Y937" s="1259"/>
      <c r="Z937" s="1259"/>
    </row>
    <row r="938" spans="1:26" ht="15.75" customHeight="1">
      <c r="A938" s="1259"/>
      <c r="B938" s="1259"/>
      <c r="C938" s="1259"/>
      <c r="D938" s="1259"/>
      <c r="E938" s="1259"/>
      <c r="F938" s="1259"/>
      <c r="G938" s="1259"/>
      <c r="H938" s="1259"/>
      <c r="I938" s="1259"/>
      <c r="J938" s="1259"/>
      <c r="K938" s="1259"/>
      <c r="L938" s="1259"/>
      <c r="M938" s="1259"/>
      <c r="N938" s="1259"/>
      <c r="O938" s="1259"/>
      <c r="P938" s="1259"/>
      <c r="Q938" s="1259"/>
      <c r="R938" s="1259"/>
      <c r="S938" s="1259"/>
      <c r="T938" s="1259"/>
      <c r="U938" s="1259"/>
      <c r="V938" s="1259"/>
      <c r="W938" s="1259"/>
      <c r="X938" s="1259"/>
      <c r="Y938" s="1259"/>
      <c r="Z938" s="1259"/>
    </row>
    <row r="939" spans="1:26" ht="15.75" customHeight="1">
      <c r="A939" s="1259"/>
      <c r="B939" s="1259"/>
      <c r="C939" s="1259"/>
      <c r="D939" s="1259"/>
      <c r="E939" s="1259"/>
      <c r="F939" s="1259"/>
      <c r="G939" s="1259"/>
      <c r="H939" s="1259"/>
      <c r="I939" s="1259"/>
      <c r="J939" s="1259"/>
      <c r="K939" s="1259"/>
      <c r="L939" s="1259"/>
      <c r="M939" s="1259"/>
      <c r="N939" s="1259"/>
      <c r="O939" s="1259"/>
      <c r="P939" s="1259"/>
      <c r="Q939" s="1259"/>
      <c r="R939" s="1259"/>
      <c r="S939" s="1259"/>
      <c r="T939" s="1259"/>
      <c r="U939" s="1259"/>
      <c r="V939" s="1259"/>
      <c r="W939" s="1259"/>
      <c r="X939" s="1259"/>
      <c r="Y939" s="1259"/>
      <c r="Z939" s="1259"/>
    </row>
    <row r="940" spans="1:26" ht="15.75" customHeight="1">
      <c r="A940" s="1259"/>
      <c r="B940" s="1259"/>
      <c r="C940" s="1259"/>
      <c r="D940" s="1259"/>
      <c r="E940" s="1259"/>
      <c r="F940" s="1259"/>
      <c r="G940" s="1259"/>
      <c r="H940" s="1259"/>
      <c r="I940" s="1259"/>
      <c r="J940" s="1259"/>
      <c r="K940" s="1259"/>
      <c r="L940" s="1259"/>
      <c r="M940" s="1259"/>
      <c r="N940" s="1259"/>
      <c r="O940" s="1259"/>
      <c r="P940" s="1259"/>
      <c r="Q940" s="1259"/>
      <c r="R940" s="1259"/>
      <c r="S940" s="1259"/>
      <c r="T940" s="1259"/>
      <c r="U940" s="1259"/>
      <c r="V940" s="1259"/>
      <c r="W940" s="1259"/>
      <c r="X940" s="1259"/>
      <c r="Y940" s="1259"/>
      <c r="Z940" s="1259"/>
    </row>
    <row r="941" spans="1:26" ht="15.75" customHeight="1">
      <c r="A941" s="1259"/>
      <c r="B941" s="1259"/>
      <c r="C941" s="1259"/>
      <c r="D941" s="1259"/>
      <c r="E941" s="1259"/>
      <c r="F941" s="1259"/>
      <c r="G941" s="1259"/>
      <c r="H941" s="1259"/>
      <c r="I941" s="1259"/>
      <c r="J941" s="1259"/>
      <c r="K941" s="1259"/>
      <c r="L941" s="1259"/>
      <c r="M941" s="1259"/>
      <c r="N941" s="1259"/>
      <c r="O941" s="1259"/>
      <c r="P941" s="1259"/>
      <c r="Q941" s="1259"/>
      <c r="R941" s="1259"/>
      <c r="S941" s="1259"/>
      <c r="T941" s="1259"/>
      <c r="U941" s="1259"/>
      <c r="V941" s="1259"/>
      <c r="W941" s="1259"/>
      <c r="X941" s="1259"/>
      <c r="Y941" s="1259"/>
      <c r="Z941" s="1259"/>
    </row>
    <row r="942" spans="1:26" ht="15.75" customHeigh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row>
    <row r="943" spans="1:26" ht="15.75" customHeight="1">
      <c r="A943" s="1259"/>
      <c r="B943" s="1259"/>
      <c r="C943" s="1259"/>
      <c r="D943" s="1259"/>
      <c r="E943" s="1259"/>
      <c r="F943" s="1259"/>
      <c r="G943" s="1259"/>
      <c r="H943" s="1259"/>
      <c r="I943" s="1259"/>
      <c r="J943" s="1259"/>
      <c r="K943" s="1259"/>
      <c r="L943" s="1259"/>
      <c r="M943" s="1259"/>
      <c r="N943" s="1259"/>
      <c r="O943" s="1259"/>
      <c r="P943" s="1259"/>
      <c r="Q943" s="1259"/>
      <c r="R943" s="1259"/>
      <c r="S943" s="1259"/>
      <c r="T943" s="1259"/>
      <c r="U943" s="1259"/>
      <c r="V943" s="1259"/>
      <c r="W943" s="1259"/>
      <c r="X943" s="1259"/>
      <c r="Y943" s="1259"/>
      <c r="Z943" s="1259"/>
    </row>
    <row r="944" spans="1:26" ht="15.75" customHeight="1">
      <c r="A944" s="1259"/>
      <c r="B944" s="1259"/>
      <c r="C944" s="1259"/>
      <c r="D944" s="1259"/>
      <c r="E944" s="1259"/>
      <c r="F944" s="1259"/>
      <c r="G944" s="1259"/>
      <c r="H944" s="1259"/>
      <c r="I944" s="1259"/>
      <c r="J944" s="1259"/>
      <c r="K944" s="1259"/>
      <c r="L944" s="1259"/>
      <c r="M944" s="1259"/>
      <c r="N944" s="1259"/>
      <c r="O944" s="1259"/>
      <c r="P944" s="1259"/>
      <c r="Q944" s="1259"/>
      <c r="R944" s="1259"/>
      <c r="S944" s="1259"/>
      <c r="T944" s="1259"/>
      <c r="U944" s="1259"/>
      <c r="V944" s="1259"/>
      <c r="W944" s="1259"/>
      <c r="X944" s="1259"/>
      <c r="Y944" s="1259"/>
      <c r="Z944" s="1259"/>
    </row>
    <row r="945" spans="1:26" ht="15.75" customHeight="1">
      <c r="A945" s="1259"/>
      <c r="B945" s="1259"/>
      <c r="C945" s="1259"/>
      <c r="D945" s="1259"/>
      <c r="E945" s="1259"/>
      <c r="F945" s="1259"/>
      <c r="G945" s="1259"/>
      <c r="H945" s="1259"/>
      <c r="I945" s="1259"/>
      <c r="J945" s="1259"/>
      <c r="K945" s="1259"/>
      <c r="L945" s="1259"/>
      <c r="M945" s="1259"/>
      <c r="N945" s="1259"/>
      <c r="O945" s="1259"/>
      <c r="P945" s="1259"/>
      <c r="Q945" s="1259"/>
      <c r="R945" s="1259"/>
      <c r="S945" s="1259"/>
      <c r="T945" s="1259"/>
      <c r="U945" s="1259"/>
      <c r="V945" s="1259"/>
      <c r="W945" s="1259"/>
      <c r="X945" s="1259"/>
      <c r="Y945" s="1259"/>
      <c r="Z945" s="1259"/>
    </row>
    <row r="946" spans="1:26" ht="15.75" customHeight="1">
      <c r="A946" s="1259"/>
      <c r="B946" s="1259"/>
      <c r="C946" s="1259"/>
      <c r="D946" s="1259"/>
      <c r="E946" s="1259"/>
      <c r="F946" s="1259"/>
      <c r="G946" s="1259"/>
      <c r="H946" s="1259"/>
      <c r="I946" s="1259"/>
      <c r="J946" s="1259"/>
      <c r="K946" s="1259"/>
      <c r="L946" s="1259"/>
      <c r="M946" s="1259"/>
      <c r="N946" s="1259"/>
      <c r="O946" s="1259"/>
      <c r="P946" s="1259"/>
      <c r="Q946" s="1259"/>
      <c r="R946" s="1259"/>
      <c r="S946" s="1259"/>
      <c r="T946" s="1259"/>
      <c r="U946" s="1259"/>
      <c r="V946" s="1259"/>
      <c r="W946" s="1259"/>
      <c r="X946" s="1259"/>
      <c r="Y946" s="1259"/>
      <c r="Z946" s="1259"/>
    </row>
    <row r="947" spans="1:26" ht="15.75" customHeight="1">
      <c r="A947" s="1259"/>
      <c r="B947" s="1259"/>
      <c r="C947" s="1259"/>
      <c r="D947" s="1259"/>
      <c r="E947" s="1259"/>
      <c r="F947" s="1259"/>
      <c r="G947" s="1259"/>
      <c r="H947" s="1259"/>
      <c r="I947" s="1259"/>
      <c r="J947" s="1259"/>
      <c r="K947" s="1259"/>
      <c r="L947" s="1259"/>
      <c r="M947" s="1259"/>
      <c r="N947" s="1259"/>
      <c r="O947" s="1259"/>
      <c r="P947" s="1259"/>
      <c r="Q947" s="1259"/>
      <c r="R947" s="1259"/>
      <c r="S947" s="1259"/>
      <c r="T947" s="1259"/>
      <c r="U947" s="1259"/>
      <c r="V947" s="1259"/>
      <c r="W947" s="1259"/>
      <c r="X947" s="1259"/>
      <c r="Y947" s="1259"/>
      <c r="Z947" s="1259"/>
    </row>
    <row r="948" spans="1:26" ht="15.75" customHeight="1">
      <c r="A948" s="1259"/>
      <c r="B948" s="1259"/>
      <c r="C948" s="1259"/>
      <c r="D948" s="1259"/>
      <c r="E948" s="1259"/>
      <c r="F948" s="1259"/>
      <c r="G948" s="1259"/>
      <c r="H948" s="1259"/>
      <c r="I948" s="1259"/>
      <c r="J948" s="1259"/>
      <c r="K948" s="1259"/>
      <c r="L948" s="1259"/>
      <c r="M948" s="1259"/>
      <c r="N948" s="1259"/>
      <c r="O948" s="1259"/>
      <c r="P948" s="1259"/>
      <c r="Q948" s="1259"/>
      <c r="R948" s="1259"/>
      <c r="S948" s="1259"/>
      <c r="T948" s="1259"/>
      <c r="U948" s="1259"/>
      <c r="V948" s="1259"/>
      <c r="W948" s="1259"/>
      <c r="X948" s="1259"/>
      <c r="Y948" s="1259"/>
      <c r="Z948" s="1259"/>
    </row>
    <row r="949" spans="1:26" ht="15.75" customHeight="1">
      <c r="A949" s="1259"/>
      <c r="B949" s="1259"/>
      <c r="C949" s="1259"/>
      <c r="D949" s="1259"/>
      <c r="E949" s="1259"/>
      <c r="F949" s="1259"/>
      <c r="G949" s="1259"/>
      <c r="H949" s="1259"/>
      <c r="I949" s="1259"/>
      <c r="J949" s="1259"/>
      <c r="K949" s="1259"/>
      <c r="L949" s="1259"/>
      <c r="M949" s="1259"/>
      <c r="N949" s="1259"/>
      <c r="O949" s="1259"/>
      <c r="P949" s="1259"/>
      <c r="Q949" s="1259"/>
      <c r="R949" s="1259"/>
      <c r="S949" s="1259"/>
      <c r="T949" s="1259"/>
      <c r="U949" s="1259"/>
      <c r="V949" s="1259"/>
      <c r="W949" s="1259"/>
      <c r="X949" s="1259"/>
      <c r="Y949" s="1259"/>
      <c r="Z949" s="1259"/>
    </row>
    <row r="950" spans="1:26" ht="15.75" customHeight="1">
      <c r="A950" s="1259"/>
      <c r="B950" s="1259"/>
      <c r="C950" s="1259"/>
      <c r="D950" s="1259"/>
      <c r="E950" s="1259"/>
      <c r="F950" s="1259"/>
      <c r="G950" s="1259"/>
      <c r="H950" s="1259"/>
      <c r="I950" s="1259"/>
      <c r="J950" s="1259"/>
      <c r="K950" s="1259"/>
      <c r="L950" s="1259"/>
      <c r="M950" s="1259"/>
      <c r="N950" s="1259"/>
      <c r="O950" s="1259"/>
      <c r="P950" s="1259"/>
      <c r="Q950" s="1259"/>
      <c r="R950" s="1259"/>
      <c r="S950" s="1259"/>
      <c r="T950" s="1259"/>
      <c r="U950" s="1259"/>
      <c r="V950" s="1259"/>
      <c r="W950" s="1259"/>
      <c r="X950" s="1259"/>
      <c r="Y950" s="1259"/>
      <c r="Z950" s="1259"/>
    </row>
    <row r="951" spans="1:26" ht="15.75" customHeight="1">
      <c r="A951" s="1259"/>
      <c r="B951" s="1259"/>
      <c r="C951" s="1259"/>
      <c r="D951" s="1259"/>
      <c r="E951" s="1259"/>
      <c r="F951" s="1259"/>
      <c r="G951" s="1259"/>
      <c r="H951" s="1259"/>
      <c r="I951" s="1259"/>
      <c r="J951" s="1259"/>
      <c r="K951" s="1259"/>
      <c r="L951" s="1259"/>
      <c r="M951" s="1259"/>
      <c r="N951" s="1259"/>
      <c r="O951" s="1259"/>
      <c r="P951" s="1259"/>
      <c r="Q951" s="1259"/>
      <c r="R951" s="1259"/>
      <c r="S951" s="1259"/>
      <c r="T951" s="1259"/>
      <c r="U951" s="1259"/>
      <c r="V951" s="1259"/>
      <c r="W951" s="1259"/>
      <c r="X951" s="1259"/>
      <c r="Y951" s="1259"/>
      <c r="Z951" s="1259"/>
    </row>
    <row r="952" spans="1:26" ht="15.75" customHeight="1">
      <c r="A952" s="1259"/>
      <c r="B952" s="1259"/>
      <c r="C952" s="1259"/>
      <c r="D952" s="1259"/>
      <c r="E952" s="1259"/>
      <c r="F952" s="1259"/>
      <c r="G952" s="1259"/>
      <c r="H952" s="1259"/>
      <c r="I952" s="1259"/>
      <c r="J952" s="1259"/>
      <c r="K952" s="1259"/>
      <c r="L952" s="1259"/>
      <c r="M952" s="1259"/>
      <c r="N952" s="1259"/>
      <c r="O952" s="1259"/>
      <c r="P952" s="1259"/>
      <c r="Q952" s="1259"/>
      <c r="R952" s="1259"/>
      <c r="S952" s="1259"/>
      <c r="T952" s="1259"/>
      <c r="U952" s="1259"/>
      <c r="V952" s="1259"/>
      <c r="W952" s="1259"/>
      <c r="X952" s="1259"/>
      <c r="Y952" s="1259"/>
      <c r="Z952" s="1259"/>
    </row>
    <row r="953" spans="1:26" ht="15.75" customHeight="1">
      <c r="A953" s="1259"/>
      <c r="B953" s="1259"/>
      <c r="C953" s="1259"/>
      <c r="D953" s="1259"/>
      <c r="E953" s="1259"/>
      <c r="F953" s="1259"/>
      <c r="G953" s="1259"/>
      <c r="H953" s="1259"/>
      <c r="I953" s="1259"/>
      <c r="J953" s="1259"/>
      <c r="K953" s="1259"/>
      <c r="L953" s="1259"/>
      <c r="M953" s="1259"/>
      <c r="N953" s="1259"/>
      <c r="O953" s="1259"/>
      <c r="P953" s="1259"/>
      <c r="Q953" s="1259"/>
      <c r="R953" s="1259"/>
      <c r="S953" s="1259"/>
      <c r="T953" s="1259"/>
      <c r="U953" s="1259"/>
      <c r="V953" s="1259"/>
      <c r="W953" s="1259"/>
      <c r="X953" s="1259"/>
      <c r="Y953" s="1259"/>
      <c r="Z953" s="1259"/>
    </row>
    <row r="954" spans="1:26" ht="15.75" customHeight="1">
      <c r="A954" s="1259"/>
      <c r="B954" s="1259"/>
      <c r="C954" s="1259"/>
      <c r="D954" s="1259"/>
      <c r="E954" s="1259"/>
      <c r="F954" s="1259"/>
      <c r="G954" s="1259"/>
      <c r="H954" s="1259"/>
      <c r="I954" s="1259"/>
      <c r="J954" s="1259"/>
      <c r="K954" s="1259"/>
      <c r="L954" s="1259"/>
      <c r="M954" s="1259"/>
      <c r="N954" s="1259"/>
      <c r="O954" s="1259"/>
      <c r="P954" s="1259"/>
      <c r="Q954" s="1259"/>
      <c r="R954" s="1259"/>
      <c r="S954" s="1259"/>
      <c r="T954" s="1259"/>
      <c r="U954" s="1259"/>
      <c r="V954" s="1259"/>
      <c r="W954" s="1259"/>
      <c r="X954" s="1259"/>
      <c r="Y954" s="1259"/>
      <c r="Z954" s="1259"/>
    </row>
    <row r="955" spans="1:26" ht="15.75" customHeight="1">
      <c r="A955" s="1259"/>
      <c r="B955" s="1259"/>
      <c r="C955" s="1259"/>
      <c r="D955" s="1259"/>
      <c r="E955" s="1259"/>
      <c r="F955" s="1259"/>
      <c r="G955" s="1259"/>
      <c r="H955" s="1259"/>
      <c r="I955" s="1259"/>
      <c r="J955" s="1259"/>
      <c r="K955" s="1259"/>
      <c r="L955" s="1259"/>
      <c r="M955" s="1259"/>
      <c r="N955" s="1259"/>
      <c r="O955" s="1259"/>
      <c r="P955" s="1259"/>
      <c r="Q955" s="1259"/>
      <c r="R955" s="1259"/>
      <c r="S955" s="1259"/>
      <c r="T955" s="1259"/>
      <c r="U955" s="1259"/>
      <c r="V955" s="1259"/>
      <c r="W955" s="1259"/>
      <c r="X955" s="1259"/>
      <c r="Y955" s="1259"/>
      <c r="Z955" s="1259"/>
    </row>
    <row r="956" spans="1:26" ht="15.75" customHeight="1">
      <c r="A956" s="1259"/>
      <c r="B956" s="1259"/>
      <c r="C956" s="1259"/>
      <c r="D956" s="1259"/>
      <c r="E956" s="1259"/>
      <c r="F956" s="1259"/>
      <c r="G956" s="1259"/>
      <c r="H956" s="1259"/>
      <c r="I956" s="1259"/>
      <c r="J956" s="1259"/>
      <c r="K956" s="1259"/>
      <c r="L956" s="1259"/>
      <c r="M956" s="1259"/>
      <c r="N956" s="1259"/>
      <c r="O956" s="1259"/>
      <c r="P956" s="1259"/>
      <c r="Q956" s="1259"/>
      <c r="R956" s="1259"/>
      <c r="S956" s="1259"/>
      <c r="T956" s="1259"/>
      <c r="U956" s="1259"/>
      <c r="V956" s="1259"/>
      <c r="W956" s="1259"/>
      <c r="X956" s="1259"/>
      <c r="Y956" s="1259"/>
      <c r="Z956" s="1259"/>
    </row>
    <row r="957" spans="1:26" ht="15.75" customHeight="1">
      <c r="A957" s="1259"/>
      <c r="B957" s="1259"/>
      <c r="C957" s="1259"/>
      <c r="D957" s="1259"/>
      <c r="E957" s="1259"/>
      <c r="F957" s="1259"/>
      <c r="G957" s="1259"/>
      <c r="H957" s="1259"/>
      <c r="I957" s="1259"/>
      <c r="J957" s="1259"/>
      <c r="K957" s="1259"/>
      <c r="L957" s="1259"/>
      <c r="M957" s="1259"/>
      <c r="N957" s="1259"/>
      <c r="O957" s="1259"/>
      <c r="P957" s="1259"/>
      <c r="Q957" s="1259"/>
      <c r="R957" s="1259"/>
      <c r="S957" s="1259"/>
      <c r="T957" s="1259"/>
      <c r="U957" s="1259"/>
      <c r="V957" s="1259"/>
      <c r="W957" s="1259"/>
      <c r="X957" s="1259"/>
      <c r="Y957" s="1259"/>
      <c r="Z957" s="1259"/>
    </row>
    <row r="958" spans="1:26" ht="15.75" customHeight="1">
      <c r="A958" s="1259"/>
      <c r="B958" s="1259"/>
      <c r="C958" s="1259"/>
      <c r="D958" s="1259"/>
      <c r="E958" s="1259"/>
      <c r="F958" s="1259"/>
      <c r="G958" s="1259"/>
      <c r="H958" s="1259"/>
      <c r="I958" s="1259"/>
      <c r="J958" s="1259"/>
      <c r="K958" s="1259"/>
      <c r="L958" s="1259"/>
      <c r="M958" s="1259"/>
      <c r="N958" s="1259"/>
      <c r="O958" s="1259"/>
      <c r="P958" s="1259"/>
      <c r="Q958" s="1259"/>
      <c r="R958" s="1259"/>
      <c r="S958" s="1259"/>
      <c r="T958" s="1259"/>
      <c r="U958" s="1259"/>
      <c r="V958" s="1259"/>
      <c r="W958" s="1259"/>
      <c r="X958" s="1259"/>
      <c r="Y958" s="1259"/>
      <c r="Z958" s="1259"/>
    </row>
    <row r="959" spans="1:26" ht="15.75" customHeight="1">
      <c r="A959" s="1259"/>
      <c r="B959" s="1259"/>
      <c r="C959" s="1259"/>
      <c r="D959" s="1259"/>
      <c r="E959" s="1259"/>
      <c r="F959" s="1259"/>
      <c r="G959" s="1259"/>
      <c r="H959" s="1259"/>
      <c r="I959" s="1259"/>
      <c r="J959" s="1259"/>
      <c r="K959" s="1259"/>
      <c r="L959" s="1259"/>
      <c r="M959" s="1259"/>
      <c r="N959" s="1259"/>
      <c r="O959" s="1259"/>
      <c r="P959" s="1259"/>
      <c r="Q959" s="1259"/>
      <c r="R959" s="1259"/>
      <c r="S959" s="1259"/>
      <c r="T959" s="1259"/>
      <c r="U959" s="1259"/>
      <c r="V959" s="1259"/>
      <c r="W959" s="1259"/>
      <c r="X959" s="1259"/>
      <c r="Y959" s="1259"/>
      <c r="Z959" s="1259"/>
    </row>
    <row r="960" spans="1:26" ht="15.75" customHeight="1">
      <c r="A960" s="1259"/>
      <c r="B960" s="1259"/>
      <c r="C960" s="1259"/>
      <c r="D960" s="1259"/>
      <c r="E960" s="1259"/>
      <c r="F960" s="1259"/>
      <c r="G960" s="1259"/>
      <c r="H960" s="1259"/>
      <c r="I960" s="1259"/>
      <c r="J960" s="1259"/>
      <c r="K960" s="1259"/>
      <c r="L960" s="1259"/>
      <c r="M960" s="1259"/>
      <c r="N960" s="1259"/>
      <c r="O960" s="1259"/>
      <c r="P960" s="1259"/>
      <c r="Q960" s="1259"/>
      <c r="R960" s="1259"/>
      <c r="S960" s="1259"/>
      <c r="T960" s="1259"/>
      <c r="U960" s="1259"/>
      <c r="V960" s="1259"/>
      <c r="W960" s="1259"/>
      <c r="X960" s="1259"/>
      <c r="Y960" s="1259"/>
      <c r="Z960" s="1259"/>
    </row>
    <row r="961" spans="1:26" ht="15.75" customHeight="1">
      <c r="A961" s="1259"/>
      <c r="B961" s="1259"/>
      <c r="C961" s="1259"/>
      <c r="D961" s="1259"/>
      <c r="E961" s="1259"/>
      <c r="F961" s="1259"/>
      <c r="G961" s="1259"/>
      <c r="H961" s="1259"/>
      <c r="I961" s="1259"/>
      <c r="J961" s="1259"/>
      <c r="K961" s="1259"/>
      <c r="L961" s="1259"/>
      <c r="M961" s="1259"/>
      <c r="N961" s="1259"/>
      <c r="O961" s="1259"/>
      <c r="P961" s="1259"/>
      <c r="Q961" s="1259"/>
      <c r="R961" s="1259"/>
      <c r="S961" s="1259"/>
      <c r="T961" s="1259"/>
      <c r="U961" s="1259"/>
      <c r="V961" s="1259"/>
      <c r="W961" s="1259"/>
      <c r="X961" s="1259"/>
      <c r="Y961" s="1259"/>
      <c r="Z961" s="1259"/>
    </row>
    <row r="962" spans="1:26" ht="15.75" customHeight="1">
      <c r="A962" s="1259"/>
      <c r="B962" s="1259"/>
      <c r="C962" s="1259"/>
      <c r="D962" s="1259"/>
      <c r="E962" s="1259"/>
      <c r="F962" s="1259"/>
      <c r="G962" s="1259"/>
      <c r="H962" s="1259"/>
      <c r="I962" s="1259"/>
      <c r="J962" s="1259"/>
      <c r="K962" s="1259"/>
      <c r="L962" s="1259"/>
      <c r="M962" s="1259"/>
      <c r="N962" s="1259"/>
      <c r="O962" s="1259"/>
      <c r="P962" s="1259"/>
      <c r="Q962" s="1259"/>
      <c r="R962" s="1259"/>
      <c r="S962" s="1259"/>
      <c r="T962" s="1259"/>
      <c r="U962" s="1259"/>
      <c r="V962" s="1259"/>
      <c r="W962" s="1259"/>
      <c r="X962" s="1259"/>
      <c r="Y962" s="1259"/>
      <c r="Z962" s="1259"/>
    </row>
    <row r="963" spans="1:26" ht="15.75" customHeight="1">
      <c r="A963" s="1259"/>
      <c r="B963" s="1259"/>
      <c r="C963" s="1259"/>
      <c r="D963" s="1259"/>
      <c r="E963" s="1259"/>
      <c r="F963" s="1259"/>
      <c r="G963" s="1259"/>
      <c r="H963" s="1259"/>
      <c r="I963" s="1259"/>
      <c r="J963" s="1259"/>
      <c r="K963" s="1259"/>
      <c r="L963" s="1259"/>
      <c r="M963" s="1259"/>
      <c r="N963" s="1259"/>
      <c r="O963" s="1259"/>
      <c r="P963" s="1259"/>
      <c r="Q963" s="1259"/>
      <c r="R963" s="1259"/>
      <c r="S963" s="1259"/>
      <c r="T963" s="1259"/>
      <c r="U963" s="1259"/>
      <c r="V963" s="1259"/>
      <c r="W963" s="1259"/>
      <c r="X963" s="1259"/>
      <c r="Y963" s="1259"/>
      <c r="Z963" s="1259"/>
    </row>
    <row r="964" spans="1:26" ht="15.75" customHeight="1">
      <c r="A964" s="1259"/>
      <c r="B964" s="1259"/>
      <c r="C964" s="1259"/>
      <c r="D964" s="1259"/>
      <c r="E964" s="1259"/>
      <c r="F964" s="1259"/>
      <c r="G964" s="1259"/>
      <c r="H964" s="1259"/>
      <c r="I964" s="1259"/>
      <c r="J964" s="1259"/>
      <c r="K964" s="1259"/>
      <c r="L964" s="1259"/>
      <c r="M964" s="1259"/>
      <c r="N964" s="1259"/>
      <c r="O964" s="1259"/>
      <c r="P964" s="1259"/>
      <c r="Q964" s="1259"/>
      <c r="R964" s="1259"/>
      <c r="S964" s="1259"/>
      <c r="T964" s="1259"/>
      <c r="U964" s="1259"/>
      <c r="V964" s="1259"/>
      <c r="W964" s="1259"/>
      <c r="X964" s="1259"/>
      <c r="Y964" s="1259"/>
      <c r="Z964" s="1259"/>
    </row>
    <row r="965" spans="1:26" ht="15.75" customHeight="1">
      <c r="A965" s="1259"/>
      <c r="B965" s="1259"/>
      <c r="C965" s="1259"/>
      <c r="D965" s="1259"/>
      <c r="E965" s="1259"/>
      <c r="F965" s="1259"/>
      <c r="G965" s="1259"/>
      <c r="H965" s="1259"/>
      <c r="I965" s="1259"/>
      <c r="J965" s="1259"/>
      <c r="K965" s="1259"/>
      <c r="L965" s="1259"/>
      <c r="M965" s="1259"/>
      <c r="N965" s="1259"/>
      <c r="O965" s="1259"/>
      <c r="P965" s="1259"/>
      <c r="Q965" s="1259"/>
      <c r="R965" s="1259"/>
      <c r="S965" s="1259"/>
      <c r="T965" s="1259"/>
      <c r="U965" s="1259"/>
      <c r="V965" s="1259"/>
      <c r="W965" s="1259"/>
      <c r="X965" s="1259"/>
      <c r="Y965" s="1259"/>
      <c r="Z965" s="1259"/>
    </row>
    <row r="966" spans="1:26" ht="15.75" customHeight="1">
      <c r="A966" s="1259"/>
      <c r="B966" s="1259"/>
      <c r="C966" s="1259"/>
      <c r="D966" s="1259"/>
      <c r="E966" s="1259"/>
      <c r="F966" s="1259"/>
      <c r="G966" s="1259"/>
      <c r="H966" s="1259"/>
      <c r="I966" s="1259"/>
      <c r="J966" s="1259"/>
      <c r="K966" s="1259"/>
      <c r="L966" s="1259"/>
      <c r="M966" s="1259"/>
      <c r="N966" s="1259"/>
      <c r="O966" s="1259"/>
      <c r="P966" s="1259"/>
      <c r="Q966" s="1259"/>
      <c r="R966" s="1259"/>
      <c r="S966" s="1259"/>
      <c r="T966" s="1259"/>
      <c r="U966" s="1259"/>
      <c r="V966" s="1259"/>
      <c r="W966" s="1259"/>
      <c r="X966" s="1259"/>
      <c r="Y966" s="1259"/>
      <c r="Z966" s="1259"/>
    </row>
    <row r="967" spans="1:26" ht="15.75" customHeight="1">
      <c r="A967" s="1259"/>
      <c r="B967" s="1259"/>
      <c r="C967" s="1259"/>
      <c r="D967" s="1259"/>
      <c r="E967" s="1259"/>
      <c r="F967" s="1259"/>
      <c r="G967" s="1259"/>
      <c r="H967" s="1259"/>
      <c r="I967" s="1259"/>
      <c r="J967" s="1259"/>
      <c r="K967" s="1259"/>
      <c r="L967" s="1259"/>
      <c r="M967" s="1259"/>
      <c r="N967" s="1259"/>
      <c r="O967" s="1259"/>
      <c r="P967" s="1259"/>
      <c r="Q967" s="1259"/>
      <c r="R967" s="1259"/>
      <c r="S967" s="1259"/>
      <c r="T967" s="1259"/>
      <c r="U967" s="1259"/>
      <c r="V967" s="1259"/>
      <c r="W967" s="1259"/>
      <c r="X967" s="1259"/>
      <c r="Y967" s="1259"/>
      <c r="Z967" s="1259"/>
    </row>
    <row r="968" spans="1:26" ht="15.75" customHeight="1">
      <c r="A968" s="1259"/>
      <c r="B968" s="1259"/>
      <c r="C968" s="1259"/>
      <c r="D968" s="1259"/>
      <c r="E968" s="1259"/>
      <c r="F968" s="1259"/>
      <c r="G968" s="1259"/>
      <c r="H968" s="1259"/>
      <c r="I968" s="1259"/>
      <c r="J968" s="1259"/>
      <c r="K968" s="1259"/>
      <c r="L968" s="1259"/>
      <c r="M968" s="1259"/>
      <c r="N968" s="1259"/>
      <c r="O968" s="1259"/>
      <c r="P968" s="1259"/>
      <c r="Q968" s="1259"/>
      <c r="R968" s="1259"/>
      <c r="S968" s="1259"/>
      <c r="T968" s="1259"/>
      <c r="U968" s="1259"/>
      <c r="V968" s="1259"/>
      <c r="W968" s="1259"/>
      <c r="X968" s="1259"/>
      <c r="Y968" s="1259"/>
      <c r="Z968" s="1259"/>
    </row>
    <row r="969" spans="1:26" ht="15.75" customHeight="1">
      <c r="A969" s="1259"/>
      <c r="B969" s="1259"/>
      <c r="C969" s="1259"/>
      <c r="D969" s="1259"/>
      <c r="E969" s="1259"/>
      <c r="F969" s="1259"/>
      <c r="G969" s="1259"/>
      <c r="H969" s="1259"/>
      <c r="I969" s="1259"/>
      <c r="J969" s="1259"/>
      <c r="K969" s="1259"/>
      <c r="L969" s="1259"/>
      <c r="M969" s="1259"/>
      <c r="N969" s="1259"/>
      <c r="O969" s="1259"/>
      <c r="P969" s="1259"/>
      <c r="Q969" s="1259"/>
      <c r="R969" s="1259"/>
      <c r="S969" s="1259"/>
      <c r="T969" s="1259"/>
      <c r="U969" s="1259"/>
      <c r="V969" s="1259"/>
      <c r="W969" s="1259"/>
      <c r="X969" s="1259"/>
      <c r="Y969" s="1259"/>
      <c r="Z969" s="1259"/>
    </row>
    <row r="970" spans="1:26" ht="15.75" customHeight="1">
      <c r="A970" s="1259"/>
      <c r="B970" s="1259"/>
      <c r="C970" s="1259"/>
      <c r="D970" s="1259"/>
      <c r="E970" s="1259"/>
      <c r="F970" s="1259"/>
      <c r="G970" s="1259"/>
      <c r="H970" s="1259"/>
      <c r="I970" s="1259"/>
      <c r="J970" s="1259"/>
      <c r="K970" s="1259"/>
      <c r="L970" s="1259"/>
      <c r="M970" s="1259"/>
      <c r="N970" s="1259"/>
      <c r="O970" s="1259"/>
      <c r="P970" s="1259"/>
      <c r="Q970" s="1259"/>
      <c r="R970" s="1259"/>
      <c r="S970" s="1259"/>
      <c r="T970" s="1259"/>
      <c r="U970" s="1259"/>
      <c r="V970" s="1259"/>
      <c r="W970" s="1259"/>
      <c r="X970" s="1259"/>
      <c r="Y970" s="1259"/>
      <c r="Z970" s="1259"/>
    </row>
    <row r="971" spans="1:26" ht="15.75" customHeight="1">
      <c r="A971" s="1259"/>
      <c r="B971" s="1259"/>
      <c r="C971" s="1259"/>
      <c r="D971" s="1259"/>
      <c r="E971" s="1259"/>
      <c r="F971" s="1259"/>
      <c r="G971" s="1259"/>
      <c r="H971" s="1259"/>
      <c r="I971" s="1259"/>
      <c r="J971" s="1259"/>
      <c r="K971" s="1259"/>
      <c r="L971" s="1259"/>
      <c r="M971" s="1259"/>
      <c r="N971" s="1259"/>
      <c r="O971" s="1259"/>
      <c r="P971" s="1259"/>
      <c r="Q971" s="1259"/>
      <c r="R971" s="1259"/>
      <c r="S971" s="1259"/>
      <c r="T971" s="1259"/>
      <c r="U971" s="1259"/>
      <c r="V971" s="1259"/>
      <c r="W971" s="1259"/>
      <c r="X971" s="1259"/>
      <c r="Y971" s="1259"/>
      <c r="Z971" s="1259"/>
    </row>
    <row r="972" spans="1:26" ht="15.75" customHeight="1">
      <c r="A972" s="1259"/>
      <c r="B972" s="1259"/>
      <c r="C972" s="1259"/>
      <c r="D972" s="1259"/>
      <c r="E972" s="1259"/>
      <c r="F972" s="1259"/>
      <c r="G972" s="1259"/>
      <c r="H972" s="1259"/>
      <c r="I972" s="1259"/>
      <c r="J972" s="1259"/>
      <c r="K972" s="1259"/>
      <c r="L972" s="1259"/>
      <c r="M972" s="1259"/>
      <c r="N972" s="1259"/>
      <c r="O972" s="1259"/>
      <c r="P972" s="1259"/>
      <c r="Q972" s="1259"/>
      <c r="R972" s="1259"/>
      <c r="S972" s="1259"/>
      <c r="T972" s="1259"/>
      <c r="U972" s="1259"/>
      <c r="V972" s="1259"/>
      <c r="W972" s="1259"/>
      <c r="X972" s="1259"/>
      <c r="Y972" s="1259"/>
      <c r="Z972" s="1259"/>
    </row>
    <row r="973" spans="1:26" ht="15.75" customHeight="1">
      <c r="A973" s="1259"/>
      <c r="B973" s="1259"/>
      <c r="C973" s="1259"/>
      <c r="D973" s="1259"/>
      <c r="E973" s="1259"/>
      <c r="F973" s="1259"/>
      <c r="G973" s="1259"/>
      <c r="H973" s="1259"/>
      <c r="I973" s="1259"/>
      <c r="J973" s="1259"/>
      <c r="K973" s="1259"/>
      <c r="L973" s="1259"/>
      <c r="M973" s="1259"/>
      <c r="N973" s="1259"/>
      <c r="O973" s="1259"/>
      <c r="P973" s="1259"/>
      <c r="Q973" s="1259"/>
      <c r="R973" s="1259"/>
      <c r="S973" s="1259"/>
      <c r="T973" s="1259"/>
      <c r="U973" s="1259"/>
      <c r="V973" s="1259"/>
      <c r="W973" s="1259"/>
      <c r="X973" s="1259"/>
      <c r="Y973" s="1259"/>
      <c r="Z973" s="1259"/>
    </row>
    <row r="974" spans="1:26" ht="15.75" customHeight="1">
      <c r="A974" s="1259"/>
      <c r="B974" s="1259"/>
      <c r="C974" s="1259"/>
      <c r="D974" s="1259"/>
      <c r="E974" s="1259"/>
      <c r="F974" s="1259"/>
      <c r="G974" s="1259"/>
      <c r="H974" s="1259"/>
      <c r="I974" s="1259"/>
      <c r="J974" s="1259"/>
      <c r="K974" s="1259"/>
      <c r="L974" s="1259"/>
      <c r="M974" s="1259"/>
      <c r="N974" s="1259"/>
      <c r="O974" s="1259"/>
      <c r="P974" s="1259"/>
      <c r="Q974" s="1259"/>
      <c r="R974" s="1259"/>
      <c r="S974" s="1259"/>
      <c r="T974" s="1259"/>
      <c r="U974" s="1259"/>
      <c r="V974" s="1259"/>
      <c r="W974" s="1259"/>
      <c r="X974" s="1259"/>
      <c r="Y974" s="1259"/>
      <c r="Z974" s="1259"/>
    </row>
    <row r="975" spans="1:26" ht="15.75" customHeight="1">
      <c r="A975" s="1259"/>
      <c r="B975" s="1259"/>
      <c r="C975" s="1259"/>
      <c r="D975" s="1259"/>
      <c r="E975" s="1259"/>
      <c r="F975" s="1259"/>
      <c r="G975" s="1259"/>
      <c r="H975" s="1259"/>
      <c r="I975" s="1259"/>
      <c r="J975" s="1259"/>
      <c r="K975" s="1259"/>
      <c r="L975" s="1259"/>
      <c r="M975" s="1259"/>
      <c r="N975" s="1259"/>
      <c r="O975" s="1259"/>
      <c r="P975" s="1259"/>
      <c r="Q975" s="1259"/>
      <c r="R975" s="1259"/>
      <c r="S975" s="1259"/>
      <c r="T975" s="1259"/>
      <c r="U975" s="1259"/>
      <c r="V975" s="1259"/>
      <c r="W975" s="1259"/>
      <c r="X975" s="1259"/>
      <c r="Y975" s="1259"/>
      <c r="Z975" s="1259"/>
    </row>
    <row r="976" spans="1:26" ht="15.75" customHeight="1">
      <c r="A976" s="1259"/>
      <c r="B976" s="1259"/>
      <c r="C976" s="1259"/>
      <c r="D976" s="1259"/>
      <c r="E976" s="1259"/>
      <c r="F976" s="1259"/>
      <c r="G976" s="1259"/>
      <c r="H976" s="1259"/>
      <c r="I976" s="1259"/>
      <c r="J976" s="1259"/>
      <c r="K976" s="1259"/>
      <c r="L976" s="1259"/>
      <c r="M976" s="1259"/>
      <c r="N976" s="1259"/>
      <c r="O976" s="1259"/>
      <c r="P976" s="1259"/>
      <c r="Q976" s="1259"/>
      <c r="R976" s="1259"/>
      <c r="S976" s="1259"/>
      <c r="T976" s="1259"/>
      <c r="U976" s="1259"/>
      <c r="V976" s="1259"/>
      <c r="W976" s="1259"/>
      <c r="X976" s="1259"/>
      <c r="Y976" s="1259"/>
      <c r="Z976" s="1259"/>
    </row>
    <row r="977" spans="1:26" ht="15.75" customHeight="1">
      <c r="A977" s="1259"/>
      <c r="B977" s="1259"/>
      <c r="C977" s="1259"/>
      <c r="D977" s="1259"/>
      <c r="E977" s="1259"/>
      <c r="F977" s="1259"/>
      <c r="G977" s="1259"/>
      <c r="H977" s="1259"/>
      <c r="I977" s="1259"/>
      <c r="J977" s="1259"/>
      <c r="K977" s="1259"/>
      <c r="L977" s="1259"/>
      <c r="M977" s="1259"/>
      <c r="N977" s="1259"/>
      <c r="O977" s="1259"/>
      <c r="P977" s="1259"/>
      <c r="Q977" s="1259"/>
      <c r="R977" s="1259"/>
      <c r="S977" s="1259"/>
      <c r="T977" s="1259"/>
      <c r="U977" s="1259"/>
      <c r="V977" s="1259"/>
      <c r="W977" s="1259"/>
      <c r="X977" s="1259"/>
      <c r="Y977" s="1259"/>
      <c r="Z977" s="1259"/>
    </row>
    <row r="978" spans="1:26" ht="15.75" customHeight="1">
      <c r="A978" s="1259"/>
      <c r="B978" s="1259"/>
      <c r="C978" s="1259"/>
      <c r="D978" s="1259"/>
      <c r="E978" s="1259"/>
      <c r="F978" s="1259"/>
      <c r="G978" s="1259"/>
      <c r="H978" s="1259"/>
      <c r="I978" s="1259"/>
      <c r="J978" s="1259"/>
      <c r="K978" s="1259"/>
      <c r="L978" s="1259"/>
      <c r="M978" s="1259"/>
      <c r="N978" s="1259"/>
      <c r="O978" s="1259"/>
      <c r="P978" s="1259"/>
      <c r="Q978" s="1259"/>
      <c r="R978" s="1259"/>
      <c r="S978" s="1259"/>
      <c r="T978" s="1259"/>
      <c r="U978" s="1259"/>
      <c r="V978" s="1259"/>
      <c r="W978" s="1259"/>
      <c r="X978" s="1259"/>
      <c r="Y978" s="1259"/>
      <c r="Z978" s="1259"/>
    </row>
    <row r="979" spans="1:26" ht="15.75" customHeight="1">
      <c r="A979" s="1259"/>
      <c r="B979" s="1259"/>
      <c r="C979" s="1259"/>
      <c r="D979" s="1259"/>
      <c r="E979" s="1259"/>
      <c r="F979" s="1259"/>
      <c r="G979" s="1259"/>
      <c r="H979" s="1259"/>
      <c r="I979" s="1259"/>
      <c r="J979" s="1259"/>
      <c r="K979" s="1259"/>
      <c r="L979" s="1259"/>
      <c r="M979" s="1259"/>
      <c r="N979" s="1259"/>
      <c r="O979" s="1259"/>
      <c r="P979" s="1259"/>
      <c r="Q979" s="1259"/>
      <c r="R979" s="1259"/>
      <c r="S979" s="1259"/>
      <c r="T979" s="1259"/>
      <c r="U979" s="1259"/>
      <c r="V979" s="1259"/>
      <c r="W979" s="1259"/>
      <c r="X979" s="1259"/>
      <c r="Y979" s="1259"/>
      <c r="Z979" s="1259"/>
    </row>
    <row r="980" spans="1:26" ht="15.75" customHeight="1">
      <c r="A980" s="1259"/>
      <c r="B980" s="1259"/>
      <c r="C980" s="1259"/>
      <c r="D980" s="1259"/>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59"/>
      <c r="Z980" s="1259"/>
    </row>
    <row r="981" spans="1:26" ht="15.75" customHeight="1">
      <c r="A981" s="1259"/>
      <c r="B981" s="1259"/>
      <c r="C981" s="1259"/>
      <c r="D981" s="1259"/>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59"/>
      <c r="Z981" s="1259"/>
    </row>
    <row r="982" spans="1:26" ht="15.75" customHeight="1">
      <c r="A982" s="1259"/>
      <c r="B982" s="1259"/>
      <c r="C982" s="1259"/>
      <c r="D982" s="1259"/>
      <c r="E982" s="1259"/>
      <c r="F982" s="1259"/>
      <c r="G982" s="1259"/>
      <c r="H982" s="1259"/>
      <c r="I982" s="1259"/>
      <c r="J982" s="1259"/>
      <c r="K982" s="1259"/>
      <c r="L982" s="1259"/>
      <c r="M982" s="1259"/>
      <c r="N982" s="1259"/>
      <c r="O982" s="1259"/>
      <c r="P982" s="1259"/>
      <c r="Q982" s="1259"/>
      <c r="R982" s="1259"/>
      <c r="S982" s="1259"/>
      <c r="T982" s="1259"/>
      <c r="U982" s="1259"/>
      <c r="V982" s="1259"/>
      <c r="W982" s="1259"/>
      <c r="X982" s="1259"/>
      <c r="Y982" s="1259"/>
      <c r="Z982" s="1259"/>
    </row>
    <row r="983" spans="1:26" ht="15.75" customHeight="1">
      <c r="A983" s="1259"/>
      <c r="B983" s="1259"/>
      <c r="C983" s="1259"/>
      <c r="D983" s="1259"/>
      <c r="E983" s="1259"/>
      <c r="F983" s="1259"/>
      <c r="G983" s="1259"/>
      <c r="H983" s="1259"/>
      <c r="I983" s="1259"/>
      <c r="J983" s="1259"/>
      <c r="K983" s="1259"/>
      <c r="L983" s="1259"/>
      <c r="M983" s="1259"/>
      <c r="N983" s="1259"/>
      <c r="O983" s="1259"/>
      <c r="P983" s="1259"/>
      <c r="Q983" s="1259"/>
      <c r="R983" s="1259"/>
      <c r="S983" s="1259"/>
      <c r="T983" s="1259"/>
      <c r="U983" s="1259"/>
      <c r="V983" s="1259"/>
      <c r="W983" s="1259"/>
      <c r="X983" s="1259"/>
      <c r="Y983" s="1259"/>
      <c r="Z983" s="1259"/>
    </row>
    <row r="984" spans="1:26" ht="15.75" customHeight="1">
      <c r="A984" s="1259"/>
      <c r="B984" s="1259"/>
      <c r="C984" s="1259"/>
      <c r="D984" s="1259"/>
      <c r="E984" s="1259"/>
      <c r="F984" s="1259"/>
      <c r="G984" s="1259"/>
      <c r="H984" s="1259"/>
      <c r="I984" s="1259"/>
      <c r="J984" s="1259"/>
      <c r="K984" s="1259"/>
      <c r="L984" s="1259"/>
      <c r="M984" s="1259"/>
      <c r="N984" s="1259"/>
      <c r="O984" s="1259"/>
      <c r="P984" s="1259"/>
      <c r="Q984" s="1259"/>
      <c r="R984" s="1259"/>
      <c r="S984" s="1259"/>
      <c r="T984" s="1259"/>
      <c r="U984" s="1259"/>
      <c r="V984" s="1259"/>
      <c r="W984" s="1259"/>
      <c r="X984" s="1259"/>
      <c r="Y984" s="1259"/>
      <c r="Z984" s="1259"/>
    </row>
    <row r="985" spans="1:26" ht="15.75" customHeight="1">
      <c r="A985" s="1259"/>
      <c r="B985" s="1259"/>
      <c r="C985" s="1259"/>
      <c r="D985" s="1259"/>
      <c r="E985" s="1259"/>
      <c r="F985" s="1259"/>
      <c r="G985" s="1259"/>
      <c r="H985" s="1259"/>
      <c r="I985" s="1259"/>
      <c r="J985" s="1259"/>
      <c r="K985" s="1259"/>
      <c r="L985" s="1259"/>
      <c r="M985" s="1259"/>
      <c r="N985" s="1259"/>
      <c r="O985" s="1259"/>
      <c r="P985" s="1259"/>
      <c r="Q985" s="1259"/>
      <c r="R985" s="1259"/>
      <c r="S985" s="1259"/>
      <c r="T985" s="1259"/>
      <c r="U985" s="1259"/>
      <c r="V985" s="1259"/>
      <c r="W985" s="1259"/>
      <c r="X985" s="1259"/>
      <c r="Y985" s="1259"/>
      <c r="Z985" s="1259"/>
    </row>
    <row r="986" spans="1:26" ht="15.75" customHeight="1">
      <c r="A986" s="1259"/>
      <c r="B986" s="1259"/>
      <c r="C986" s="1259"/>
      <c r="D986" s="1259"/>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59"/>
      <c r="Z986" s="1259"/>
    </row>
    <row r="987" spans="1:26" ht="15.75" customHeight="1">
      <c r="A987" s="1259"/>
      <c r="B987" s="1259"/>
      <c r="C987" s="1259"/>
      <c r="D987" s="1259"/>
      <c r="E987" s="1259"/>
      <c r="F987" s="1259"/>
      <c r="G987" s="1259"/>
      <c r="H987" s="1259"/>
      <c r="I987" s="1259"/>
      <c r="J987" s="1259"/>
      <c r="K987" s="1259"/>
      <c r="L987" s="1259"/>
      <c r="M987" s="1259"/>
      <c r="N987" s="1259"/>
      <c r="O987" s="1259"/>
      <c r="P987" s="1259"/>
      <c r="Q987" s="1259"/>
      <c r="R987" s="1259"/>
      <c r="S987" s="1259"/>
      <c r="T987" s="1259"/>
      <c r="U987" s="1259"/>
      <c r="V987" s="1259"/>
      <c r="W987" s="1259"/>
      <c r="X987" s="1259"/>
      <c r="Y987" s="1259"/>
      <c r="Z987" s="1259"/>
    </row>
    <row r="988" spans="1:26" ht="15.75" customHeight="1">
      <c r="A988" s="1259"/>
      <c r="B988" s="1259"/>
      <c r="C988" s="1259"/>
      <c r="D988" s="1259"/>
      <c r="E988" s="1259"/>
      <c r="F988" s="1259"/>
      <c r="G988" s="1259"/>
      <c r="H988" s="1259"/>
      <c r="I988" s="1259"/>
      <c r="J988" s="1259"/>
      <c r="K988" s="1259"/>
      <c r="L988" s="1259"/>
      <c r="M988" s="1259"/>
      <c r="N988" s="1259"/>
      <c r="O988" s="1259"/>
      <c r="P988" s="1259"/>
      <c r="Q988" s="1259"/>
      <c r="R988" s="1259"/>
      <c r="S988" s="1259"/>
      <c r="T988" s="1259"/>
      <c r="U988" s="1259"/>
      <c r="V988" s="1259"/>
      <c r="W988" s="1259"/>
      <c r="X988" s="1259"/>
      <c r="Y988" s="1259"/>
      <c r="Z988" s="1259"/>
    </row>
    <row r="989" spans="1:26" ht="15.75" customHeight="1">
      <c r="A989" s="1259"/>
      <c r="B989" s="1259"/>
      <c r="C989" s="1259"/>
      <c r="D989" s="1259"/>
      <c r="E989" s="1259"/>
      <c r="F989" s="1259"/>
      <c r="G989" s="1259"/>
      <c r="H989" s="1259"/>
      <c r="I989" s="1259"/>
      <c r="J989" s="1259"/>
      <c r="K989" s="1259"/>
      <c r="L989" s="1259"/>
      <c r="M989" s="1259"/>
      <c r="N989" s="1259"/>
      <c r="O989" s="1259"/>
      <c r="P989" s="1259"/>
      <c r="Q989" s="1259"/>
      <c r="R989" s="1259"/>
      <c r="S989" s="1259"/>
      <c r="T989" s="1259"/>
      <c r="U989" s="1259"/>
      <c r="V989" s="1259"/>
      <c r="W989" s="1259"/>
      <c r="X989" s="1259"/>
      <c r="Y989" s="1259"/>
      <c r="Z989" s="1259"/>
    </row>
    <row r="990" spans="1:26" ht="15.75" customHeight="1">
      <c r="A990" s="1259"/>
      <c r="B990" s="1259"/>
      <c r="C990" s="1259"/>
      <c r="D990" s="1259"/>
      <c r="E990" s="1259"/>
      <c r="F990" s="1259"/>
      <c r="G990" s="1259"/>
      <c r="H990" s="1259"/>
      <c r="I990" s="1259"/>
      <c r="J990" s="1259"/>
      <c r="K990" s="1259"/>
      <c r="L990" s="1259"/>
      <c r="M990" s="1259"/>
      <c r="N990" s="1259"/>
      <c r="O990" s="1259"/>
      <c r="P990" s="1259"/>
      <c r="Q990" s="1259"/>
      <c r="R990" s="1259"/>
      <c r="S990" s="1259"/>
      <c r="T990" s="1259"/>
      <c r="U990" s="1259"/>
      <c r="V990" s="1259"/>
      <c r="W990" s="1259"/>
      <c r="X990" s="1259"/>
      <c r="Y990" s="1259"/>
      <c r="Z990" s="1259"/>
    </row>
    <row r="991" spans="1:26" ht="15.75" customHeight="1">
      <c r="A991" s="1259"/>
      <c r="B991" s="1259"/>
      <c r="C991" s="1259"/>
      <c r="D991" s="1259"/>
      <c r="E991" s="1259"/>
      <c r="F991" s="1259"/>
      <c r="G991" s="1259"/>
      <c r="H991" s="1259"/>
      <c r="I991" s="1259"/>
      <c r="J991" s="1259"/>
      <c r="K991" s="1259"/>
      <c r="L991" s="1259"/>
      <c r="M991" s="1259"/>
      <c r="N991" s="1259"/>
      <c r="O991" s="1259"/>
      <c r="P991" s="1259"/>
      <c r="Q991" s="1259"/>
      <c r="R991" s="1259"/>
      <c r="S991" s="1259"/>
      <c r="T991" s="1259"/>
      <c r="U991" s="1259"/>
      <c r="V991" s="1259"/>
      <c r="W991" s="1259"/>
      <c r="X991" s="1259"/>
      <c r="Y991" s="1259"/>
      <c r="Z991" s="1259"/>
    </row>
    <row r="992" spans="1:26" ht="15.75" customHeight="1">
      <c r="A992" s="1259"/>
      <c r="B992" s="1259"/>
      <c r="C992" s="1259"/>
      <c r="D992" s="1259"/>
      <c r="E992" s="1259"/>
      <c r="F992" s="1259"/>
      <c r="G992" s="1259"/>
      <c r="H992" s="1259"/>
      <c r="I992" s="1259"/>
      <c r="J992" s="1259"/>
      <c r="K992" s="1259"/>
      <c r="L992" s="1259"/>
      <c r="M992" s="1259"/>
      <c r="N992" s="1259"/>
      <c r="O992" s="1259"/>
      <c r="P992" s="1259"/>
      <c r="Q992" s="1259"/>
      <c r="R992" s="1259"/>
      <c r="S992" s="1259"/>
      <c r="T992" s="1259"/>
      <c r="U992" s="1259"/>
      <c r="V992" s="1259"/>
      <c r="W992" s="1259"/>
      <c r="X992" s="1259"/>
      <c r="Y992" s="1259"/>
      <c r="Z992" s="1259"/>
    </row>
    <row r="993" spans="1:26" ht="15.75" customHeight="1">
      <c r="A993" s="1259"/>
      <c r="B993" s="1259"/>
      <c r="C993" s="1259"/>
      <c r="D993" s="1259"/>
      <c r="E993" s="1259"/>
      <c r="F993" s="1259"/>
      <c r="G993" s="1259"/>
      <c r="H993" s="1259"/>
      <c r="I993" s="1259"/>
      <c r="J993" s="1259"/>
      <c r="K993" s="1259"/>
      <c r="L993" s="1259"/>
      <c r="M993" s="1259"/>
      <c r="N993" s="1259"/>
      <c r="O993" s="1259"/>
      <c r="P993" s="1259"/>
      <c r="Q993" s="1259"/>
      <c r="R993" s="1259"/>
      <c r="S993" s="1259"/>
      <c r="T993" s="1259"/>
      <c r="U993" s="1259"/>
      <c r="V993" s="1259"/>
      <c r="W993" s="1259"/>
      <c r="X993" s="1259"/>
      <c r="Y993" s="1259"/>
      <c r="Z993" s="1259"/>
    </row>
    <row r="994" spans="1:26" ht="15.75" customHeight="1">
      <c r="A994" s="1259"/>
      <c r="B994" s="1259"/>
      <c r="C994" s="1259"/>
      <c r="D994" s="1259"/>
      <c r="E994" s="1259"/>
      <c r="F994" s="1259"/>
      <c r="G994" s="1259"/>
      <c r="H994" s="1259"/>
      <c r="I994" s="1259"/>
      <c r="J994" s="1259"/>
      <c r="K994" s="1259"/>
      <c r="L994" s="1259"/>
      <c r="M994" s="1259"/>
      <c r="N994" s="1259"/>
      <c r="O994" s="1259"/>
      <c r="P994" s="1259"/>
      <c r="Q994" s="1259"/>
      <c r="R994" s="1259"/>
      <c r="S994" s="1259"/>
      <c r="T994" s="1259"/>
      <c r="U994" s="1259"/>
      <c r="V994" s="1259"/>
      <c r="W994" s="1259"/>
      <c r="X994" s="1259"/>
      <c r="Y994" s="1259"/>
      <c r="Z994" s="1259"/>
    </row>
    <row r="995" spans="1:26" ht="15.75" customHeight="1">
      <c r="A995" s="1259"/>
      <c r="B995" s="1259"/>
      <c r="C995" s="1259"/>
      <c r="D995" s="1259"/>
      <c r="E995" s="1259"/>
      <c r="F995" s="1259"/>
      <c r="G995" s="1259"/>
      <c r="H995" s="1259"/>
      <c r="I995" s="1259"/>
      <c r="J995" s="1259"/>
      <c r="K995" s="1259"/>
      <c r="L995" s="1259"/>
      <c r="M995" s="1259"/>
      <c r="N995" s="1259"/>
      <c r="O995" s="1259"/>
      <c r="P995" s="1259"/>
      <c r="Q995" s="1259"/>
      <c r="R995" s="1259"/>
      <c r="S995" s="1259"/>
      <c r="T995" s="1259"/>
      <c r="U995" s="1259"/>
      <c r="V995" s="1259"/>
      <c r="W995" s="1259"/>
      <c r="X995" s="1259"/>
      <c r="Y995" s="1259"/>
      <c r="Z995" s="1259"/>
    </row>
    <row r="996" spans="1:26" ht="15.75" customHeight="1">
      <c r="A996" s="1259"/>
      <c r="B996" s="1259"/>
      <c r="C996" s="1259"/>
      <c r="D996" s="1259"/>
      <c r="E996" s="1259"/>
      <c r="F996" s="1259"/>
      <c r="G996" s="1259"/>
      <c r="H996" s="1259"/>
      <c r="I996" s="1259"/>
      <c r="J996" s="1259"/>
      <c r="K996" s="1259"/>
      <c r="L996" s="1259"/>
      <c r="M996" s="1259"/>
      <c r="N996" s="1259"/>
      <c r="O996" s="1259"/>
      <c r="P996" s="1259"/>
      <c r="Q996" s="1259"/>
      <c r="R996" s="1259"/>
      <c r="S996" s="1259"/>
      <c r="T996" s="1259"/>
      <c r="U996" s="1259"/>
      <c r="V996" s="1259"/>
      <c r="W996" s="1259"/>
      <c r="X996" s="1259"/>
      <c r="Y996" s="1259"/>
      <c r="Z996" s="1259"/>
    </row>
    <row r="997" spans="1:26" ht="15.75" customHeight="1">
      <c r="A997" s="1259"/>
      <c r="B997" s="1259"/>
      <c r="C997" s="1259"/>
      <c r="D997" s="1259"/>
      <c r="E997" s="1259"/>
      <c r="F997" s="1259"/>
      <c r="G997" s="1259"/>
      <c r="H997" s="1259"/>
      <c r="I997" s="1259"/>
      <c r="J997" s="1259"/>
      <c r="K997" s="1259"/>
      <c r="L997" s="1259"/>
      <c r="M997" s="1259"/>
      <c r="N997" s="1259"/>
      <c r="O997" s="1259"/>
      <c r="P997" s="1259"/>
      <c r="Q997" s="1259"/>
      <c r="R997" s="1259"/>
      <c r="S997" s="1259"/>
      <c r="T997" s="1259"/>
      <c r="U997" s="1259"/>
      <c r="V997" s="1259"/>
      <c r="W997" s="1259"/>
      <c r="X997" s="1259"/>
      <c r="Y997" s="1259"/>
      <c r="Z997" s="1259"/>
    </row>
    <row r="998" spans="1:26" ht="15.75" customHeight="1">
      <c r="A998" s="1259"/>
      <c r="B998" s="1259"/>
      <c r="C998" s="1259"/>
      <c r="D998" s="1259"/>
      <c r="E998" s="1259"/>
      <c r="F998" s="1259"/>
      <c r="G998" s="1259"/>
      <c r="H998" s="1259"/>
      <c r="I998" s="1259"/>
      <c r="J998" s="1259"/>
      <c r="K998" s="1259"/>
      <c r="L998" s="1259"/>
      <c r="M998" s="1259"/>
      <c r="N998" s="1259"/>
      <c r="O998" s="1259"/>
      <c r="P998" s="1259"/>
      <c r="Q998" s="1259"/>
      <c r="R998" s="1259"/>
      <c r="S998" s="1259"/>
      <c r="T998" s="1259"/>
      <c r="U998" s="1259"/>
      <c r="V998" s="1259"/>
      <c r="W998" s="1259"/>
      <c r="X998" s="1259"/>
      <c r="Y998" s="1259"/>
      <c r="Z998" s="1259"/>
    </row>
    <row r="999" spans="1:26" ht="15.75" customHeight="1">
      <c r="A999" s="1259"/>
      <c r="B999" s="1259"/>
      <c r="C999" s="1259"/>
      <c r="D999" s="1259"/>
      <c r="E999" s="1259"/>
      <c r="F999" s="1259"/>
      <c r="G999" s="1259"/>
      <c r="H999" s="1259"/>
      <c r="I999" s="1259"/>
      <c r="J999" s="1259"/>
      <c r="K999" s="1259"/>
      <c r="L999" s="1259"/>
      <c r="M999" s="1259"/>
      <c r="N999" s="1259"/>
      <c r="O999" s="1259"/>
      <c r="P999" s="1259"/>
      <c r="Q999" s="1259"/>
      <c r="R999" s="1259"/>
      <c r="S999" s="1259"/>
      <c r="T999" s="1259"/>
      <c r="U999" s="1259"/>
      <c r="V999" s="1259"/>
      <c r="W999" s="1259"/>
      <c r="X999" s="1259"/>
      <c r="Y999" s="1259"/>
      <c r="Z999" s="1259"/>
    </row>
    <row r="1000" spans="1:26" ht="15.75" customHeight="1">
      <c r="A1000" s="1259"/>
      <c r="B1000" s="1259"/>
      <c r="C1000" s="1259"/>
      <c r="D1000" s="1259"/>
      <c r="E1000" s="1259"/>
      <c r="F1000" s="1259"/>
      <c r="G1000" s="1259"/>
      <c r="H1000" s="1259"/>
      <c r="I1000" s="1259"/>
      <c r="J1000" s="1259"/>
      <c r="K1000" s="1259"/>
      <c r="L1000" s="1259"/>
      <c r="M1000" s="1259"/>
      <c r="N1000" s="1259"/>
      <c r="O1000" s="1259"/>
      <c r="P1000" s="1259"/>
      <c r="Q1000" s="1259"/>
      <c r="R1000" s="1259"/>
      <c r="S1000" s="1259"/>
      <c r="T1000" s="1259"/>
      <c r="U1000" s="1259"/>
      <c r="V1000" s="1259"/>
      <c r="W1000" s="1259"/>
      <c r="X1000" s="1259"/>
      <c r="Y1000" s="1259"/>
      <c r="Z1000" s="1259"/>
    </row>
  </sheetData>
  <mergeCells count="3">
    <mergeCell ref="C2:F2"/>
    <mergeCell ref="C4:F4"/>
    <mergeCell ref="E38:G38"/>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8B77F-85D3-479D-936B-1BC48A970843}">
  <dimension ref="A2:Y164"/>
  <sheetViews>
    <sheetView topLeftCell="A131" zoomScale="115" zoomScaleNormal="115" workbookViewId="0">
      <selection activeCell="C139" sqref="C139:C146"/>
    </sheetView>
  </sheetViews>
  <sheetFormatPr defaultRowHeight="12.75"/>
  <cols>
    <col min="3" max="3" width="35.42578125" bestFit="1" customWidth="1"/>
    <col min="4" max="4" width="37.28515625" bestFit="1" customWidth="1"/>
    <col min="5" max="5" width="16" bestFit="1" customWidth="1"/>
    <col min="6" max="6" width="17" bestFit="1" customWidth="1"/>
    <col min="7" max="7" width="30.140625" customWidth="1"/>
    <col min="8" max="8" width="18.5703125" customWidth="1"/>
    <col min="9" max="9" width="17.7109375" bestFit="1" customWidth="1"/>
    <col min="10" max="10" width="17.5703125" customWidth="1"/>
    <col min="11" max="11" width="13.5703125" bestFit="1"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5.140625" bestFit="1" customWidth="1"/>
    <col min="18" max="19" width="12.28515625" bestFit="1" customWidth="1"/>
    <col min="20" max="20" width="12" customWidth="1"/>
    <col min="21" max="21" width="13.42578125" bestFit="1" customWidth="1"/>
    <col min="22" max="22" width="12.85546875" bestFit="1" customWidth="1"/>
    <col min="23" max="23" width="13.42578125" bestFit="1" customWidth="1"/>
    <col min="24" max="24" width="12.42578125" bestFit="1" customWidth="1"/>
    <col min="25" max="25" width="10.5703125" bestFit="1" customWidth="1"/>
  </cols>
  <sheetData>
    <row r="2" spans="1:15">
      <c r="A2" s="1744" t="s">
        <v>548</v>
      </c>
      <c r="B2" s="1745"/>
      <c r="M2" s="351"/>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254">
        <v>50000000</v>
      </c>
      <c r="N13" s="351" t="s">
        <v>506</v>
      </c>
      <c r="O13" s="351"/>
    </row>
    <row r="14" spans="1:15">
      <c r="M14" s="254">
        <f>M13/1.21</f>
        <v>41322314.04958678</v>
      </c>
      <c r="N14" s="351" t="s">
        <v>507</v>
      </c>
      <c r="O14" s="351"/>
    </row>
    <row r="15" spans="1:15">
      <c r="M15" s="254">
        <f>M14*0.05+M14</f>
        <v>43388429.752066121</v>
      </c>
      <c r="N15" s="351" t="s">
        <v>508</v>
      </c>
      <c r="O15" s="351"/>
    </row>
    <row r="19" spans="13:23" ht="13.5" thickBot="1"/>
    <row r="20" spans="13:23">
      <c r="M20" s="356" t="s">
        <v>509</v>
      </c>
      <c r="N20" s="357"/>
      <c r="O20" s="357"/>
      <c r="P20" s="357"/>
      <c r="Q20" s="357"/>
      <c r="R20" s="215"/>
    </row>
    <row r="21" spans="13:23">
      <c r="M21" s="218"/>
      <c r="N21" s="351" t="s">
        <v>516</v>
      </c>
      <c r="O21" s="351"/>
      <c r="P21" s="351" t="s">
        <v>517</v>
      </c>
      <c r="R21" s="358" t="s">
        <v>523</v>
      </c>
    </row>
    <row r="22" spans="13:23">
      <c r="M22" s="359" t="s">
        <v>510</v>
      </c>
      <c r="N22">
        <f>(400/5)*1.35</f>
        <v>108</v>
      </c>
      <c r="O22" s="351" t="s">
        <v>520</v>
      </c>
      <c r="P22" s="208">
        <v>0.01</v>
      </c>
      <c r="Q22">
        <f t="shared" ref="Q22:Q27" si="0">N22*P22</f>
        <v>1.08</v>
      </c>
      <c r="R22" s="360">
        <f t="shared" ref="R22:R28" si="1">N22+Q22</f>
        <v>109.08</v>
      </c>
    </row>
    <row r="23" spans="13:23">
      <c r="M23" s="359" t="s">
        <v>511</v>
      </c>
      <c r="N23">
        <f>0.35*150</f>
        <v>52.5</v>
      </c>
      <c r="O23" s="351" t="s">
        <v>521</v>
      </c>
      <c r="P23" s="208">
        <v>0.05</v>
      </c>
      <c r="Q23">
        <f t="shared" si="0"/>
        <v>2.625</v>
      </c>
      <c r="R23" s="217">
        <f t="shared" si="1"/>
        <v>55.125</v>
      </c>
    </row>
    <row r="24" spans="13:23">
      <c r="M24" s="359" t="s">
        <v>512</v>
      </c>
      <c r="N24" s="351">
        <f>5*580</f>
        <v>2900</v>
      </c>
      <c r="O24" s="351" t="s">
        <v>522</v>
      </c>
      <c r="P24" s="208">
        <v>0.2</v>
      </c>
      <c r="Q24">
        <f t="shared" si="0"/>
        <v>580</v>
      </c>
      <c r="R24" s="217">
        <f t="shared" si="1"/>
        <v>3480</v>
      </c>
    </row>
    <row r="25" spans="13:23">
      <c r="M25" s="359" t="s">
        <v>513</v>
      </c>
      <c r="N25" s="351">
        <f>8*268</f>
        <v>2144</v>
      </c>
      <c r="O25" s="351"/>
      <c r="P25" s="208">
        <v>0.05</v>
      </c>
      <c r="Q25">
        <f t="shared" si="0"/>
        <v>107.2</v>
      </c>
      <c r="R25" s="217">
        <f t="shared" si="1"/>
        <v>2251.1999999999998</v>
      </c>
    </row>
    <row r="26" spans="13:23">
      <c r="M26" s="359" t="s">
        <v>514</v>
      </c>
      <c r="N26">
        <v>63</v>
      </c>
      <c r="P26" s="208">
        <v>0.01</v>
      </c>
      <c r="Q26">
        <f t="shared" si="0"/>
        <v>0.63</v>
      </c>
      <c r="R26" s="217">
        <f t="shared" si="1"/>
        <v>63.63</v>
      </c>
    </row>
    <row r="27" spans="13:23">
      <c r="M27" s="359" t="s">
        <v>515</v>
      </c>
      <c r="N27">
        <v>44</v>
      </c>
      <c r="P27" s="208"/>
      <c r="Q27">
        <f t="shared" si="0"/>
        <v>0</v>
      </c>
      <c r="R27" s="217">
        <f t="shared" si="1"/>
        <v>44</v>
      </c>
    </row>
    <row r="28" spans="13:23">
      <c r="M28" s="359" t="s">
        <v>181</v>
      </c>
      <c r="N28">
        <v>115</v>
      </c>
      <c r="R28" s="217">
        <f t="shared" si="1"/>
        <v>115</v>
      </c>
    </row>
    <row r="29" spans="13:23" ht="13.5" thickBot="1">
      <c r="M29" s="361"/>
      <c r="N29" s="362"/>
      <c r="O29" s="362"/>
      <c r="P29" s="362"/>
      <c r="Q29" s="362">
        <f>Q22+Q23+Q25++Q26+Q27</f>
        <v>111.535</v>
      </c>
      <c r="R29" s="363">
        <f>SUM(R22:R28)</f>
        <v>6118.0349999999999</v>
      </c>
    </row>
    <row r="30" spans="13:23">
      <c r="M30" s="1752" t="s">
        <v>525</v>
      </c>
      <c r="N30" s="1753"/>
      <c r="Q30" s="351" t="s">
        <v>528</v>
      </c>
      <c r="R30" s="217">
        <f>N32/E79</f>
        <v>1600</v>
      </c>
      <c r="S30" s="381" t="s">
        <v>704</v>
      </c>
      <c r="T30" s="382"/>
      <c r="U30" s="382"/>
      <c r="V30" s="382"/>
      <c r="W30" s="382"/>
    </row>
    <row r="31" spans="13:23">
      <c r="M31" s="354" t="s">
        <v>526</v>
      </c>
      <c r="N31" s="354" t="s">
        <v>527</v>
      </c>
      <c r="Q31" s="351" t="s">
        <v>529</v>
      </c>
      <c r="R31" s="261">
        <f>R29+R30</f>
        <v>7718.0349999999999</v>
      </c>
    </row>
    <row r="32" spans="13:23">
      <c r="M32" s="355">
        <v>8000000</v>
      </c>
      <c r="N32" s="355">
        <f>M32*12</f>
        <v>96000000</v>
      </c>
      <c r="Q32" s="351" t="s">
        <v>530</v>
      </c>
      <c r="R32" s="365">
        <f>R31*1.7</f>
        <v>13120.6595</v>
      </c>
      <c r="S32" s="254">
        <v>13121</v>
      </c>
      <c r="T32" s="351" t="s">
        <v>531</v>
      </c>
    </row>
    <row r="33" spans="9:24">
      <c r="R33">
        <v>8722.2823456986698</v>
      </c>
    </row>
    <row r="34" spans="9:24">
      <c r="M34" s="351"/>
    </row>
    <row r="35" spans="9:24">
      <c r="O35" s="1751" t="s">
        <v>524</v>
      </c>
      <c r="P35" s="1613"/>
      <c r="Q35" s="1613"/>
      <c r="R35" s="1613"/>
      <c r="S35" s="1614"/>
    </row>
    <row r="36" spans="9:24">
      <c r="O36" s="354">
        <v>1</v>
      </c>
      <c r="P36" s="354">
        <v>2</v>
      </c>
      <c r="Q36" s="354">
        <v>3</v>
      </c>
      <c r="R36" s="354">
        <v>4</v>
      </c>
      <c r="S36" s="354">
        <v>5</v>
      </c>
    </row>
    <row r="37" spans="9:24">
      <c r="O37" s="355">
        <f>((M32/E79)+R29)*1.7</f>
        <v>10627.326166666666</v>
      </c>
      <c r="P37" s="355">
        <f>O37</f>
        <v>10627.326166666666</v>
      </c>
      <c r="Q37" s="355">
        <f>O37</f>
        <v>10627.326166666666</v>
      </c>
      <c r="R37" s="355">
        <f>O37</f>
        <v>10627.326166666666</v>
      </c>
      <c r="S37" s="355">
        <f>R37*0.95</f>
        <v>10095.959858333332</v>
      </c>
    </row>
    <row r="41" spans="9:24">
      <c r="M41" s="1751" t="s">
        <v>532</v>
      </c>
      <c r="N41" s="1754"/>
      <c r="O41" s="1754"/>
      <c r="P41" s="300"/>
      <c r="Q41" s="300"/>
      <c r="R41" s="300"/>
      <c r="S41" s="300"/>
      <c r="T41" s="300"/>
      <c r="U41" s="301"/>
    </row>
    <row r="42" spans="9:24">
      <c r="M42" s="1751" t="s">
        <v>533</v>
      </c>
      <c r="N42" s="1613"/>
      <c r="O42" s="1614"/>
    </row>
    <row r="43" spans="9:24">
      <c r="M43" s="354" t="s">
        <v>536</v>
      </c>
      <c r="N43" s="354" t="s">
        <v>537</v>
      </c>
      <c r="O43" s="354" t="s">
        <v>538</v>
      </c>
    </row>
    <row r="44" spans="9:24">
      <c r="M44" s="367">
        <v>1</v>
      </c>
      <c r="N44" s="355">
        <v>1500000</v>
      </c>
      <c r="O44" s="355">
        <f>N44*M44*1.45</f>
        <v>2175000</v>
      </c>
    </row>
    <row r="45" spans="9:24">
      <c r="M45" s="1751" t="s">
        <v>534</v>
      </c>
      <c r="N45" s="1613"/>
      <c r="O45" s="1614"/>
    </row>
    <row r="46" spans="9:24" ht="14.25">
      <c r="M46" s="354" t="s">
        <v>536</v>
      </c>
      <c r="N46" s="354" t="s">
        <v>537</v>
      </c>
      <c r="O46" s="354" t="s">
        <v>539</v>
      </c>
      <c r="U46" s="4" t="s">
        <v>706</v>
      </c>
      <c r="V46" s="547">
        <v>0.42</v>
      </c>
      <c r="W46" s="548" t="s">
        <v>707</v>
      </c>
    </row>
    <row r="47" spans="9:24">
      <c r="I47" s="1769" t="s">
        <v>840</v>
      </c>
      <c r="J47" s="1769"/>
      <c r="K47" s="1769"/>
      <c r="L47" s="1770"/>
      <c r="M47" s="367">
        <v>2</v>
      </c>
      <c r="N47" s="355">
        <v>400000</v>
      </c>
      <c r="O47" s="355">
        <f>M47*N47*1.45</f>
        <v>1160000</v>
      </c>
      <c r="U47" s="4" t="s">
        <v>148</v>
      </c>
      <c r="V47" s="4">
        <v>60</v>
      </c>
    </row>
    <row r="48" spans="9:24">
      <c r="I48" s="1769"/>
      <c r="J48" s="1769"/>
      <c r="K48" s="1769"/>
      <c r="L48" s="1770"/>
      <c r="M48" s="1751" t="s">
        <v>535</v>
      </c>
      <c r="N48" s="1613"/>
      <c r="O48" s="1614"/>
      <c r="U48" s="4" t="s">
        <v>708</v>
      </c>
      <c r="V48" s="3">
        <f>(1+(V46/(360/V47)))^(V49/V47)-1</f>
        <v>0.50073035184900005</v>
      </c>
      <c r="X48">
        <f>(1+0.07)^6</f>
        <v>1.5007303518490001</v>
      </c>
    </row>
    <row r="49" spans="6:25">
      <c r="G49" t="s">
        <v>713</v>
      </c>
      <c r="I49" s="1769"/>
      <c r="J49" s="1769"/>
      <c r="K49" s="1769"/>
      <c r="L49" s="1770"/>
      <c r="M49" s="354" t="s">
        <v>536</v>
      </c>
      <c r="N49" s="354" t="s">
        <v>537</v>
      </c>
      <c r="O49" s="354" t="s">
        <v>540</v>
      </c>
      <c r="U49" s="4" t="s">
        <v>709</v>
      </c>
      <c r="V49" s="4">
        <v>360</v>
      </c>
    </row>
    <row r="50" spans="6:25">
      <c r="G50" t="s">
        <v>714</v>
      </c>
      <c r="I50" s="1769"/>
      <c r="J50" s="1769"/>
      <c r="K50" s="1769"/>
      <c r="L50" s="1770"/>
      <c r="M50" s="367">
        <v>10</v>
      </c>
      <c r="N50" s="355">
        <v>300000</v>
      </c>
      <c r="O50" s="355">
        <f>M50*N50*1.45</f>
        <v>4350000</v>
      </c>
      <c r="U50" s="4"/>
      <c r="V50" s="4"/>
    </row>
    <row r="51" spans="6:25">
      <c r="G51" t="s">
        <v>715</v>
      </c>
      <c r="I51" s="1769"/>
      <c r="J51" s="1769"/>
      <c r="K51" s="1769"/>
      <c r="L51" s="1770"/>
      <c r="M51" s="1751" t="s">
        <v>541</v>
      </c>
      <c r="N51" s="1614"/>
      <c r="U51" s="4" t="s">
        <v>710</v>
      </c>
      <c r="V51" s="4">
        <v>3</v>
      </c>
    </row>
    <row r="52" spans="6:25">
      <c r="G52" t="s">
        <v>716</v>
      </c>
      <c r="I52" s="1769"/>
      <c r="J52" s="1769"/>
      <c r="K52" s="1769"/>
      <c r="L52" s="1770"/>
      <c r="M52" s="354" t="s">
        <v>526</v>
      </c>
      <c r="N52" s="354" t="s">
        <v>527</v>
      </c>
      <c r="U52" s="4" t="s">
        <v>483</v>
      </c>
      <c r="V52" s="549">
        <v>25000000</v>
      </c>
    </row>
    <row r="53" spans="6:25">
      <c r="M53" s="355">
        <f>O44+O47+O50</f>
        <v>7685000</v>
      </c>
      <c r="N53" s="355">
        <f>M53*13</f>
        <v>99905000</v>
      </c>
      <c r="O53" s="366" t="s">
        <v>542</v>
      </c>
      <c r="P53" s="364"/>
    </row>
    <row r="54" spans="6:25">
      <c r="G54" t="s">
        <v>717</v>
      </c>
      <c r="J54" s="380">
        <v>8722.5403961452448</v>
      </c>
    </row>
    <row r="55" spans="6:25" ht="15">
      <c r="G55">
        <f>2000000</f>
        <v>2000000</v>
      </c>
      <c r="U55" s="550" t="s">
        <v>386</v>
      </c>
      <c r="V55" s="1748" t="s">
        <v>711</v>
      </c>
      <c r="W55" s="1749"/>
      <c r="X55" s="1749"/>
      <c r="Y55" s="1750"/>
    </row>
    <row r="56" spans="6:25" ht="15.75" thickBot="1">
      <c r="F56" t="s">
        <v>718</v>
      </c>
      <c r="G56" s="254">
        <f>G55*0.3</f>
        <v>600000</v>
      </c>
      <c r="M56" s="1635" t="s">
        <v>547</v>
      </c>
      <c r="N56" s="1635"/>
      <c r="U56" s="551" t="s">
        <v>105</v>
      </c>
      <c r="V56" s="552" t="s">
        <v>483</v>
      </c>
      <c r="W56" s="552" t="s">
        <v>109</v>
      </c>
      <c r="X56" s="552" t="s">
        <v>102</v>
      </c>
      <c r="Y56" s="553" t="s">
        <v>107</v>
      </c>
    </row>
    <row r="57" spans="6:25" ht="15">
      <c r="G57" s="563" t="s">
        <v>728</v>
      </c>
      <c r="H57" s="564"/>
      <c r="N57" s="259" t="s">
        <v>0</v>
      </c>
      <c r="U57" s="554">
        <v>1</v>
      </c>
      <c r="V57" s="555">
        <f>+V52</f>
        <v>25000000</v>
      </c>
      <c r="W57" s="556">
        <f>Y57+X57</f>
        <v>20851592.129558336</v>
      </c>
      <c r="X57" s="555">
        <f>+V57*V48</f>
        <v>12518258.796225002</v>
      </c>
      <c r="Y57" s="557">
        <f>V52/3</f>
        <v>8333333.333333333</v>
      </c>
    </row>
    <row r="58" spans="6:25" ht="15">
      <c r="G58" s="565" t="s">
        <v>719</v>
      </c>
      <c r="H58" s="566"/>
      <c r="M58" s="21"/>
      <c r="N58" s="260">
        <v>0.42</v>
      </c>
      <c r="O58" s="261" t="s">
        <v>3</v>
      </c>
      <c r="P58" s="261" t="s">
        <v>3</v>
      </c>
      <c r="U58" s="554">
        <v>2</v>
      </c>
      <c r="V58" s="558">
        <f>+V57-Y57</f>
        <v>16666666.666666668</v>
      </c>
      <c r="W58" s="556">
        <f>Y58+X58</f>
        <v>16678839.197483335</v>
      </c>
      <c r="X58" s="555">
        <f>+V58*V48</f>
        <v>8345505.8641500017</v>
      </c>
      <c r="Y58" s="557">
        <f>V52/3</f>
        <v>8333333.333333333</v>
      </c>
    </row>
    <row r="59" spans="6:25" ht="15">
      <c r="G59" s="565" t="s">
        <v>720</v>
      </c>
      <c r="H59" s="566"/>
      <c r="M59" s="21"/>
      <c r="N59" s="23" t="s">
        <v>3</v>
      </c>
      <c r="O59" s="261">
        <f>(1+N58/6)^6</f>
        <v>1.5007303518490001</v>
      </c>
      <c r="P59" s="266">
        <f>O59-1</f>
        <v>0.50073035184900005</v>
      </c>
      <c r="U59" s="559">
        <v>3</v>
      </c>
      <c r="V59" s="560">
        <f>+V58-Y58</f>
        <v>8333333.3333333349</v>
      </c>
      <c r="W59" s="556">
        <f>Y59+X59</f>
        <v>12506086.265408333</v>
      </c>
      <c r="X59" s="561">
        <f>+V59*V48</f>
        <v>4172752.9320750013</v>
      </c>
      <c r="Y59" s="557">
        <f>V52/3</f>
        <v>8333333.333333333</v>
      </c>
    </row>
    <row r="60" spans="6:25">
      <c r="G60" s="565" t="s">
        <v>721</v>
      </c>
      <c r="H60" s="566"/>
      <c r="M60" s="21"/>
      <c r="N60" s="23"/>
    </row>
    <row r="61" spans="6:25">
      <c r="G61" s="565">
        <f>400000-160000</f>
        <v>240000</v>
      </c>
      <c r="H61" s="566"/>
      <c r="M61" s="21"/>
      <c r="N61" s="39"/>
    </row>
    <row r="62" spans="6:25">
      <c r="G62" s="565" t="s">
        <v>722</v>
      </c>
      <c r="H62" s="566"/>
      <c r="M62" s="21"/>
      <c r="N62" s="23"/>
    </row>
    <row r="63" spans="6:25">
      <c r="G63" s="565">
        <f>G61-40000-40000</f>
        <v>160000</v>
      </c>
      <c r="H63" s="566" t="s">
        <v>723</v>
      </c>
    </row>
    <row r="64" spans="6:25" ht="13.5" thickBot="1">
      <c r="G64" s="567" t="s">
        <v>724</v>
      </c>
      <c r="H64" s="568"/>
      <c r="M64" s="1615" t="s">
        <v>103</v>
      </c>
      <c r="N64" s="1613"/>
      <c r="O64" s="1613"/>
      <c r="P64" s="1613"/>
      <c r="Q64" s="1614"/>
      <c r="S64" s="351"/>
    </row>
    <row r="65" spans="3:22">
      <c r="M65" s="24" t="s">
        <v>105</v>
      </c>
      <c r="N65" s="24" t="s">
        <v>106</v>
      </c>
      <c r="O65" s="24" t="s">
        <v>102</v>
      </c>
      <c r="P65" s="24" t="s">
        <v>134</v>
      </c>
      <c r="Q65" s="24" t="s">
        <v>107</v>
      </c>
    </row>
    <row r="66" spans="3:22">
      <c r="G66" s="265" t="s">
        <v>727</v>
      </c>
      <c r="H66" s="265"/>
      <c r="M66" s="25"/>
      <c r="N66" s="26"/>
      <c r="O66" s="26"/>
      <c r="P66" s="26"/>
      <c r="Q66" s="26">
        <v>25000000</v>
      </c>
    </row>
    <row r="67" spans="3:22">
      <c r="C67" s="351" t="s">
        <v>1221</v>
      </c>
      <c r="G67" s="265" t="s">
        <v>729</v>
      </c>
      <c r="H67" s="265"/>
      <c r="M67" s="25">
        <v>1</v>
      </c>
      <c r="N67" s="26">
        <f>P59*Q66/(1-(1+P59)^-3)</f>
        <v>17778181.073791459</v>
      </c>
      <c r="O67" s="26">
        <f>Q66*P59</f>
        <v>12518258.796225002</v>
      </c>
      <c r="P67" s="26">
        <f>N67-O67</f>
        <v>5259922.2775664572</v>
      </c>
      <c r="Q67" s="26">
        <f>Q66-P67</f>
        <v>19740077.722433545</v>
      </c>
    </row>
    <row r="68" spans="3:22">
      <c r="G68" s="265" t="s">
        <v>730</v>
      </c>
      <c r="H68" s="265"/>
      <c r="M68" s="25">
        <v>2</v>
      </c>
      <c r="N68" s="26">
        <f>P59*Q66/(1-(1+P59)^-3)</f>
        <v>17778181.073791459</v>
      </c>
      <c r="O68" s="26">
        <f>Q67*P59</f>
        <v>9884456.0634807572</v>
      </c>
      <c r="P68" s="26">
        <f>N68-O68</f>
        <v>7893725.010310702</v>
      </c>
      <c r="Q68" s="26">
        <f>Q67-P68</f>
        <v>11846352.712122843</v>
      </c>
    </row>
    <row r="69" spans="3:22">
      <c r="G69" s="265" t="s">
        <v>731</v>
      </c>
      <c r="H69" s="265"/>
      <c r="M69" s="25">
        <v>3</v>
      </c>
      <c r="N69" s="26">
        <f>P59*Q66/(1-(1+P59)^-3)</f>
        <v>17778181.073791459</v>
      </c>
      <c r="O69" s="26">
        <f>P59*Q68</f>
        <v>5931828.3616686268</v>
      </c>
      <c r="P69" s="26">
        <f>N69-O69</f>
        <v>11846352.712122831</v>
      </c>
      <c r="Q69" s="26">
        <f>Q68-P69</f>
        <v>0</v>
      </c>
    </row>
    <row r="70" spans="3:22">
      <c r="G70" s="265" t="s">
        <v>732</v>
      </c>
      <c r="H70" s="265"/>
      <c r="M70" s="25"/>
      <c r="N70" s="26"/>
      <c r="O70" s="26"/>
      <c r="P70" s="26"/>
      <c r="Q70" s="26"/>
    </row>
    <row r="71" spans="3:22">
      <c r="G71" s="265" t="s">
        <v>733</v>
      </c>
      <c r="H71" s="265"/>
      <c r="M71" s="25"/>
      <c r="N71" s="26"/>
      <c r="O71" s="26"/>
      <c r="P71" s="26"/>
      <c r="Q71" s="26"/>
    </row>
    <row r="72" spans="3:22">
      <c r="G72" s="265" t="s">
        <v>734</v>
      </c>
      <c r="H72" s="265"/>
      <c r="M72" s="1615" t="s">
        <v>108</v>
      </c>
      <c r="N72" s="1613"/>
      <c r="O72" s="1613"/>
      <c r="P72" s="1613"/>
      <c r="Q72" s="1613"/>
    </row>
    <row r="73" spans="3:22">
      <c r="G73" s="265"/>
      <c r="H73" s="265"/>
      <c r="M73" s="24" t="s">
        <v>105</v>
      </c>
      <c r="N73" s="24" t="s">
        <v>109</v>
      </c>
      <c r="O73" s="24" t="s">
        <v>102</v>
      </c>
      <c r="P73" s="24" t="s">
        <v>110</v>
      </c>
      <c r="Q73" s="212" t="s">
        <v>107</v>
      </c>
    </row>
    <row r="74" spans="3:22" ht="13.5" customHeight="1">
      <c r="G74" s="265"/>
      <c r="H74" s="265"/>
      <c r="M74" s="25">
        <v>0</v>
      </c>
      <c r="N74" s="26"/>
      <c r="O74" s="26"/>
      <c r="P74" s="26"/>
      <c r="Q74" s="26">
        <v>25000000</v>
      </c>
    </row>
    <row r="75" spans="3:22">
      <c r="M75" s="25">
        <v>1</v>
      </c>
      <c r="N75" s="26">
        <f>O75+P75</f>
        <v>20851592.129558336</v>
      </c>
      <c r="O75" s="26">
        <f>Q74*P59</f>
        <v>12518258.796225002</v>
      </c>
      <c r="P75" s="26">
        <f>Q74/3</f>
        <v>8333333.333333333</v>
      </c>
      <c r="Q75" s="211">
        <f>Q74-P75</f>
        <v>16666666.666666668</v>
      </c>
    </row>
    <row r="76" spans="3:22">
      <c r="M76" s="25">
        <v>2</v>
      </c>
      <c r="N76" s="26">
        <f>O76+P76</f>
        <v>16678839.197483335</v>
      </c>
      <c r="O76" s="26">
        <f>Q75*P59</f>
        <v>8345505.8641500017</v>
      </c>
      <c r="P76" s="26">
        <f>Q74/3</f>
        <v>8333333.333333333</v>
      </c>
      <c r="Q76" s="211">
        <f>Q75-P76</f>
        <v>8333333.3333333349</v>
      </c>
    </row>
    <row r="77" spans="3:22">
      <c r="H77" s="254"/>
      <c r="M77" s="25">
        <v>3</v>
      </c>
      <c r="N77" s="26">
        <f>O77+P77</f>
        <v>12506086.265408333</v>
      </c>
      <c r="O77" s="26">
        <f>Q76*P59</f>
        <v>4172752.9320750013</v>
      </c>
      <c r="P77" s="26">
        <f>Q74/3</f>
        <v>8333333.333333333</v>
      </c>
      <c r="Q77" s="211">
        <f>Q76-P77</f>
        <v>0</v>
      </c>
    </row>
    <row r="79" spans="3:22">
      <c r="C79" s="272" t="s">
        <v>365</v>
      </c>
      <c r="D79" s="25"/>
      <c r="E79" s="25">
        <v>60000</v>
      </c>
      <c r="F79" s="25">
        <v>95000</v>
      </c>
      <c r="G79" s="25">
        <v>150000</v>
      </c>
      <c r="H79" s="25">
        <v>190000</v>
      </c>
      <c r="I79" s="25">
        <v>190000</v>
      </c>
      <c r="P79" s="4"/>
      <c r="Q79" s="4"/>
      <c r="R79" s="4"/>
      <c r="S79" s="4"/>
      <c r="T79" s="4"/>
      <c r="U79" s="4"/>
      <c r="V79" s="4"/>
    </row>
    <row r="80" spans="3:22">
      <c r="C80" s="27" t="s">
        <v>361</v>
      </c>
      <c r="D80" s="27" t="s">
        <v>112</v>
      </c>
      <c r="E80" s="27" t="s">
        <v>113</v>
      </c>
      <c r="F80" s="27" t="s">
        <v>114</v>
      </c>
      <c r="G80" s="27" t="s">
        <v>115</v>
      </c>
      <c r="H80" s="27" t="s">
        <v>116</v>
      </c>
      <c r="I80" s="27" t="s">
        <v>117</v>
      </c>
      <c r="P80" s="724"/>
      <c r="Q80" s="724"/>
      <c r="R80" s="724"/>
      <c r="S80" s="724"/>
      <c r="T80" s="724"/>
      <c r="U80" s="724"/>
      <c r="V80" s="724"/>
    </row>
    <row r="81" spans="3:22">
      <c r="C81" s="269" t="s">
        <v>118</v>
      </c>
      <c r="D81" s="270"/>
      <c r="E81" s="270"/>
      <c r="F81" s="270"/>
      <c r="G81" s="270"/>
      <c r="H81" s="270"/>
      <c r="I81" s="270"/>
      <c r="P81" s="725"/>
      <c r="Q81" s="5"/>
      <c r="R81" s="5"/>
      <c r="S81" s="5"/>
      <c r="T81" s="5"/>
      <c r="U81" s="5"/>
      <c r="V81" s="5"/>
    </row>
    <row r="82" spans="3:22">
      <c r="C82" s="25" t="s">
        <v>356</v>
      </c>
      <c r="D82" s="26"/>
      <c r="E82" s="26">
        <f>E79*$J54</f>
        <v>523352423.76871467</v>
      </c>
      <c r="F82" s="26">
        <f>F79*$J54</f>
        <v>828641337.63379824</v>
      </c>
      <c r="G82" s="26">
        <f>G79*$J54</f>
        <v>1308381059.4217868</v>
      </c>
      <c r="H82" s="26">
        <f>H79*$J54</f>
        <v>1657282675.2675965</v>
      </c>
      <c r="I82" s="26">
        <f>I79*$J54</f>
        <v>1657282675.2675965</v>
      </c>
      <c r="P82" s="4"/>
      <c r="Q82" s="5"/>
      <c r="R82" s="5"/>
      <c r="S82" s="5"/>
      <c r="T82" s="5"/>
      <c r="U82" s="5"/>
      <c r="V82" s="5"/>
    </row>
    <row r="83" spans="3:22">
      <c r="C83" s="25" t="s">
        <v>119</v>
      </c>
      <c r="D83" s="26"/>
      <c r="E83" s="26"/>
      <c r="F83" s="26"/>
      <c r="G83" s="26"/>
      <c r="H83" s="26"/>
      <c r="I83" s="26"/>
      <c r="P83" s="4"/>
      <c r="Q83" s="5"/>
      <c r="R83" s="5"/>
      <c r="S83" s="5"/>
      <c r="T83" s="5"/>
      <c r="U83" s="5"/>
      <c r="V83" s="5"/>
    </row>
    <row r="84" spans="3:22">
      <c r="C84" s="25" t="s">
        <v>332</v>
      </c>
      <c r="D84" s="26"/>
      <c r="E84" s="26"/>
      <c r="F84" s="26"/>
      <c r="G84" s="26"/>
      <c r="H84" s="26"/>
      <c r="I84" s="26">
        <f>G56</f>
        <v>600000</v>
      </c>
      <c r="P84" s="4"/>
      <c r="Q84" s="5"/>
      <c r="R84" s="5"/>
      <c r="S84" s="5"/>
      <c r="T84" s="5"/>
      <c r="U84" s="5"/>
      <c r="V84" s="5"/>
    </row>
    <row r="85" spans="3:22">
      <c r="C85" s="25" t="s">
        <v>447</v>
      </c>
      <c r="D85" s="26"/>
      <c r="E85" s="26"/>
      <c r="F85" s="26"/>
      <c r="G85" s="26"/>
      <c r="H85" s="26"/>
      <c r="I85" s="280"/>
      <c r="P85" s="4"/>
      <c r="Q85" s="5"/>
      <c r="R85" s="5"/>
      <c r="S85" s="5"/>
      <c r="T85" s="5"/>
      <c r="U85" s="5"/>
      <c r="V85" s="5"/>
    </row>
    <row r="86" spans="3:22">
      <c r="C86" s="269" t="s">
        <v>121</v>
      </c>
      <c r="D86" s="270"/>
      <c r="E86" s="270"/>
      <c r="F86" s="270"/>
      <c r="G86" s="270"/>
      <c r="H86" s="270"/>
      <c r="I86" s="270"/>
      <c r="P86" s="725"/>
      <c r="Q86" s="5"/>
      <c r="R86" s="5"/>
      <c r="S86" s="5"/>
      <c r="T86" s="5"/>
      <c r="U86" s="5"/>
      <c r="V86" s="5"/>
    </row>
    <row r="87" spans="3:22">
      <c r="C87" s="25" t="s">
        <v>122</v>
      </c>
      <c r="D87" s="26"/>
      <c r="E87" s="26">
        <f>-X57</f>
        <v>-12518258.796225002</v>
      </c>
      <c r="F87" s="26">
        <f>-X58</f>
        <v>-8345505.8641500017</v>
      </c>
      <c r="G87" s="26">
        <f>-X59</f>
        <v>-4172752.9320750013</v>
      </c>
      <c r="H87" s="26"/>
      <c r="I87" s="26"/>
      <c r="P87" s="4"/>
      <c r="Q87" s="5"/>
      <c r="R87" s="5"/>
      <c r="S87" s="5"/>
      <c r="T87" s="5"/>
      <c r="U87" s="5"/>
      <c r="V87" s="5"/>
    </row>
    <row r="88" spans="3:22">
      <c r="C88" s="47" t="s">
        <v>544</v>
      </c>
      <c r="D88" s="26"/>
      <c r="E88" s="26">
        <f>-E82*0.03</f>
        <v>-15700572.713061439</v>
      </c>
      <c r="F88" s="26">
        <f>-F82*0.03</f>
        <v>-24859240.129013948</v>
      </c>
      <c r="G88" s="26">
        <f>-G82*0.03</f>
        <v>-39251431.7826536</v>
      </c>
      <c r="H88" s="26">
        <f>-H82*0.03</f>
        <v>-49718480.258027896</v>
      </c>
      <c r="I88" s="26">
        <f>-I82*0.03</f>
        <v>-49718480.258027896</v>
      </c>
      <c r="P88" s="4"/>
      <c r="Q88" s="5"/>
      <c r="R88" s="5"/>
      <c r="S88" s="5"/>
      <c r="T88" s="5"/>
      <c r="U88" s="5"/>
      <c r="V88" s="5"/>
    </row>
    <row r="89" spans="3:22">
      <c r="C89" s="47" t="s">
        <v>545</v>
      </c>
      <c r="D89" s="26"/>
      <c r="E89" s="26">
        <f>-E82*0.01</f>
        <v>-5233524.2376871472</v>
      </c>
      <c r="F89" s="26">
        <f>-F82*0.01</f>
        <v>-8286413.3763379827</v>
      </c>
      <c r="G89" s="26">
        <f>-G82*0.01</f>
        <v>-13083810.594217869</v>
      </c>
      <c r="H89" s="26">
        <f>-H82*0.01</f>
        <v>-16572826.752675965</v>
      </c>
      <c r="I89" s="26">
        <f>-I82*0.01</f>
        <v>-16572826.752675965</v>
      </c>
      <c r="P89" s="4"/>
      <c r="Q89" s="5"/>
      <c r="R89" s="5"/>
      <c r="S89" s="5"/>
      <c r="T89" s="5"/>
      <c r="U89" s="5"/>
      <c r="V89" s="5"/>
    </row>
    <row r="90" spans="3:22" ht="15.75" customHeight="1">
      <c r="C90" s="287" t="s">
        <v>546</v>
      </c>
      <c r="D90" s="26"/>
      <c r="E90" s="26">
        <f>-E79*$R$29</f>
        <v>-367082100</v>
      </c>
      <c r="F90" s="26">
        <f>-F79*$R$29</f>
        <v>-581213325</v>
      </c>
      <c r="G90" s="26">
        <f>-G79*$R$29</f>
        <v>-917705250</v>
      </c>
      <c r="H90" s="26">
        <f>-H79*$R$29</f>
        <v>-1162426650</v>
      </c>
      <c r="I90" s="26">
        <f>-I79*$R$29</f>
        <v>-1162426650</v>
      </c>
      <c r="P90" s="4"/>
      <c r="Q90" s="5"/>
      <c r="R90" s="5"/>
      <c r="S90" s="5"/>
      <c r="T90" s="5"/>
      <c r="U90" s="5"/>
      <c r="V90" s="5"/>
    </row>
    <row r="91" spans="3:22" ht="15.75" customHeight="1">
      <c r="C91" s="199" t="s">
        <v>737</v>
      </c>
      <c r="D91" s="26"/>
      <c r="E91" s="26"/>
      <c r="F91" s="26"/>
      <c r="G91" s="26"/>
      <c r="H91" s="26"/>
      <c r="I91" s="26"/>
      <c r="P91" s="4"/>
      <c r="Q91" s="5"/>
      <c r="R91" s="5"/>
      <c r="S91" s="5"/>
      <c r="T91" s="5"/>
      <c r="U91" s="5"/>
      <c r="V91" s="5"/>
    </row>
    <row r="92" spans="3:22" ht="15.75" customHeight="1">
      <c r="C92" s="199"/>
      <c r="D92" s="26"/>
      <c r="E92" s="26"/>
      <c r="F92" s="26"/>
      <c r="G92" s="26"/>
      <c r="H92" s="26"/>
      <c r="I92" s="26"/>
      <c r="P92" s="4"/>
      <c r="Q92" s="5"/>
      <c r="R92" s="5"/>
      <c r="S92" s="5"/>
      <c r="T92" s="5"/>
      <c r="U92" s="5"/>
      <c r="V92" s="5"/>
    </row>
    <row r="93" spans="3:22" ht="15.75" customHeight="1">
      <c r="C93" s="199"/>
      <c r="D93" s="26"/>
      <c r="E93" s="26"/>
      <c r="F93" s="26"/>
      <c r="G93" s="26"/>
      <c r="H93" s="26"/>
      <c r="I93" s="26"/>
      <c r="P93" s="4"/>
      <c r="Q93" s="5"/>
      <c r="R93" s="5"/>
      <c r="S93" s="5"/>
      <c r="T93" s="5"/>
      <c r="U93" s="5"/>
      <c r="V93" s="5"/>
    </row>
    <row r="94" spans="3:22" ht="15.75" customHeight="1">
      <c r="C94" s="199" t="s">
        <v>518</v>
      </c>
      <c r="D94" s="26"/>
      <c r="E94" s="26">
        <f>-8000000*12</f>
        <v>-96000000</v>
      </c>
      <c r="F94" s="26">
        <f>-8000000*12</f>
        <v>-96000000</v>
      </c>
      <c r="G94" s="26">
        <f>-8000000*12</f>
        <v>-96000000</v>
      </c>
      <c r="H94" s="26">
        <f>-8000000*12</f>
        <v>-96000000</v>
      </c>
      <c r="I94" s="26">
        <f>-8000000*12</f>
        <v>-96000000</v>
      </c>
      <c r="P94" s="4"/>
      <c r="Q94" s="5"/>
      <c r="R94" s="5"/>
      <c r="S94" s="5"/>
      <c r="T94" s="5"/>
      <c r="U94" s="5"/>
      <c r="V94" s="5"/>
    </row>
    <row r="95" spans="3:22" ht="15.75" customHeight="1">
      <c r="C95" s="199" t="s">
        <v>478</v>
      </c>
      <c r="D95" s="26"/>
      <c r="E95" s="26">
        <f>-$N$53</f>
        <v>-99905000</v>
      </c>
      <c r="F95" s="26">
        <f>-$N$53</f>
        <v>-99905000</v>
      </c>
      <c r="G95" s="26">
        <f>-$N$53</f>
        <v>-99905000</v>
      </c>
      <c r="H95" s="26">
        <f>-$N$53</f>
        <v>-99905000</v>
      </c>
      <c r="I95" s="26">
        <f>-$N$53</f>
        <v>-99905000</v>
      </c>
      <c r="P95" s="4"/>
      <c r="Q95" s="5"/>
      <c r="R95" s="5"/>
      <c r="S95" s="5"/>
      <c r="T95" s="5"/>
      <c r="U95" s="5"/>
      <c r="V95" s="5"/>
    </row>
    <row r="96" spans="3:22" ht="15.75" customHeight="1">
      <c r="C96" s="199" t="s">
        <v>543</v>
      </c>
      <c r="D96" s="26"/>
      <c r="E96" s="26">
        <f>-0.01*(E82+E88+E89)</f>
        <v>-5024183.2681796607</v>
      </c>
      <c r="F96" s="26">
        <f>-0.01*(F82+F88+F89)</f>
        <v>-7954956.8412844632</v>
      </c>
      <c r="G96" s="26">
        <f>-0.01*(G82+G88+G89)</f>
        <v>-12560458.170449154</v>
      </c>
      <c r="H96" s="26">
        <f>-0.01*(H82+H88+H89)</f>
        <v>-15909913.682568926</v>
      </c>
      <c r="I96" s="26">
        <f>-0.01*(I82+I88+I89)</f>
        <v>-15909913.682568926</v>
      </c>
      <c r="P96" s="4"/>
      <c r="Q96" s="5"/>
      <c r="R96" s="5"/>
      <c r="S96" s="5"/>
      <c r="T96" s="5"/>
      <c r="U96" s="5"/>
      <c r="V96" s="5"/>
    </row>
    <row r="97" spans="3:22" ht="15.75" customHeight="1">
      <c r="C97" s="199"/>
      <c r="D97" s="26"/>
      <c r="E97" s="26"/>
      <c r="F97" s="26"/>
      <c r="G97" s="26"/>
      <c r="H97" s="26"/>
      <c r="I97" s="26"/>
      <c r="P97" s="4"/>
      <c r="Q97" s="5"/>
      <c r="R97" s="5"/>
      <c r="S97" s="5"/>
      <c r="T97" s="5"/>
      <c r="U97" s="5"/>
      <c r="V97" s="5"/>
    </row>
    <row r="98" spans="3:22">
      <c r="C98" s="267" t="s">
        <v>125</v>
      </c>
      <c r="D98" s="268"/>
      <c r="E98" s="268"/>
      <c r="F98" s="268"/>
      <c r="G98" s="268"/>
      <c r="H98" s="268"/>
      <c r="I98" s="268"/>
      <c r="P98" s="725"/>
      <c r="Q98" s="5"/>
      <c r="R98" s="5"/>
      <c r="S98" s="5"/>
      <c r="T98" s="5"/>
      <c r="U98" s="5"/>
      <c r="V98" s="5"/>
    </row>
    <row r="99" spans="3:22">
      <c r="C99" s="25" t="s">
        <v>735</v>
      </c>
      <c r="D99" s="26"/>
      <c r="E99" s="26">
        <v>-160000</v>
      </c>
      <c r="F99" s="26">
        <v>-160000</v>
      </c>
      <c r="G99" s="26">
        <v>-160000</v>
      </c>
      <c r="H99" s="26">
        <v>-160000</v>
      </c>
      <c r="I99" s="26"/>
      <c r="J99" s="1746"/>
      <c r="K99" s="1747"/>
      <c r="L99" s="1747"/>
      <c r="M99" s="1747"/>
      <c r="P99" s="4"/>
      <c r="Q99" s="5"/>
      <c r="R99" s="5"/>
      <c r="S99" s="5"/>
      <c r="T99" s="5"/>
      <c r="U99" s="5"/>
      <c r="V99" s="5"/>
    </row>
    <row r="100" spans="3:22">
      <c r="C100" s="25" t="s">
        <v>726</v>
      </c>
      <c r="D100" s="26"/>
      <c r="E100" s="26">
        <v>-40000</v>
      </c>
      <c r="F100" s="26">
        <v>-40000</v>
      </c>
      <c r="G100" s="26"/>
      <c r="H100" s="26"/>
      <c r="I100" s="26"/>
      <c r="P100" s="4"/>
      <c r="Q100" s="5"/>
      <c r="R100" s="5"/>
      <c r="S100" s="5"/>
      <c r="T100" s="5"/>
      <c r="U100" s="5"/>
      <c r="V100" s="5"/>
    </row>
    <row r="101" spans="3:22">
      <c r="C101" s="25" t="s">
        <v>738</v>
      </c>
      <c r="D101" s="26"/>
      <c r="E101" s="26">
        <f>$D$112/10</f>
        <v>-4338842.9752066117</v>
      </c>
      <c r="F101" s="26">
        <f>$D$112/10</f>
        <v>-4338842.9752066117</v>
      </c>
      <c r="G101" s="26">
        <f>$D$112/10</f>
        <v>-4338842.9752066117</v>
      </c>
      <c r="H101" s="26">
        <f>$D$112/10</f>
        <v>-4338842.9752066117</v>
      </c>
      <c r="I101" s="26">
        <f>$D$112/10</f>
        <v>-4338842.9752066117</v>
      </c>
      <c r="P101" s="4"/>
      <c r="Q101" s="5"/>
      <c r="R101" s="5"/>
      <c r="S101" s="5"/>
      <c r="T101" s="5"/>
      <c r="U101" s="5"/>
      <c r="V101" s="5"/>
    </row>
    <row r="102" spans="3:22">
      <c r="C102" s="25" t="s">
        <v>736</v>
      </c>
      <c r="D102" s="26"/>
      <c r="E102" s="26"/>
      <c r="F102" s="26"/>
      <c r="G102" s="26"/>
      <c r="H102" s="26"/>
      <c r="I102" s="26">
        <v>0</v>
      </c>
      <c r="P102" s="4"/>
      <c r="Q102" s="5"/>
      <c r="R102" s="5"/>
      <c r="S102" s="5"/>
      <c r="T102" s="5"/>
      <c r="U102" s="5"/>
      <c r="V102" s="5"/>
    </row>
    <row r="103" spans="3:22">
      <c r="C103" s="25" t="s">
        <v>725</v>
      </c>
      <c r="D103" s="26"/>
      <c r="E103" s="26"/>
      <c r="F103" s="26">
        <f>F100*2</f>
        <v>-80000</v>
      </c>
      <c r="G103" s="26"/>
      <c r="H103" s="26"/>
      <c r="P103" s="4"/>
      <c r="Q103" s="5"/>
      <c r="R103" s="5"/>
      <c r="S103" s="5"/>
      <c r="T103" s="5"/>
      <c r="U103" s="5"/>
      <c r="V103" s="5"/>
    </row>
    <row r="104" spans="3:22">
      <c r="C104" s="25" t="s">
        <v>739</v>
      </c>
      <c r="D104" s="26"/>
      <c r="E104" s="26"/>
      <c r="F104" s="26"/>
      <c r="G104" s="26"/>
      <c r="H104" s="26"/>
      <c r="I104" s="26">
        <f>E101*5</f>
        <v>-21694214.87603306</v>
      </c>
      <c r="P104" s="4"/>
      <c r="Q104" s="5"/>
      <c r="R104" s="5"/>
      <c r="S104" s="5"/>
      <c r="T104" s="5"/>
      <c r="U104" s="5"/>
      <c r="V104" s="5"/>
    </row>
    <row r="105" spans="3:22" ht="14.25">
      <c r="C105" s="31" t="s">
        <v>130</v>
      </c>
      <c r="D105" s="32"/>
      <c r="E105" s="32">
        <f>SUM(E81:E103)</f>
        <v>-82650058.221645236</v>
      </c>
      <c r="F105" s="32">
        <f>SUM(F81:F103)</f>
        <v>-2541946.5521947816</v>
      </c>
      <c r="G105" s="32">
        <f>SUM(G81:G103)</f>
        <v>121203512.96718465</v>
      </c>
      <c r="H105" s="32">
        <f>SUM(H81:H103)</f>
        <v>212250961.59911713</v>
      </c>
      <c r="I105" s="32">
        <f>SUM(I81:I104)</f>
        <v>191316746.72308406</v>
      </c>
      <c r="P105" s="726"/>
      <c r="Q105" s="5"/>
      <c r="R105" s="5"/>
      <c r="S105" s="5"/>
      <c r="T105" s="5"/>
      <c r="U105" s="5"/>
      <c r="V105" s="5"/>
    </row>
    <row r="106" spans="3:22">
      <c r="C106" s="33" t="s">
        <v>349</v>
      </c>
      <c r="D106" s="26"/>
      <c r="E106" s="26">
        <f>E105*0.35</f>
        <v>-28927520.37757583</v>
      </c>
      <c r="F106" s="26">
        <f>F105*0.35</f>
        <v>-889681.29326817347</v>
      </c>
      <c r="G106" s="26">
        <f>G105*0.35</f>
        <v>42421229.538514622</v>
      </c>
      <c r="H106" s="26">
        <f>H105*0.35</f>
        <v>74287836.559690997</v>
      </c>
      <c r="I106" s="26">
        <f>I105*0.35</f>
        <v>66960861.353079416</v>
      </c>
      <c r="P106" s="727"/>
      <c r="Q106" s="5"/>
      <c r="R106" s="5"/>
      <c r="S106" s="5"/>
      <c r="T106" s="5"/>
      <c r="U106" s="5"/>
      <c r="V106" s="5"/>
    </row>
    <row r="107" spans="3:22" ht="28.5">
      <c r="C107" s="34" t="s">
        <v>132</v>
      </c>
      <c r="D107" s="35"/>
      <c r="E107" s="35">
        <f>E105-E106</f>
        <v>-53722537.844069406</v>
      </c>
      <c r="F107" s="35">
        <f>F105-F106</f>
        <v>-1652265.2589266081</v>
      </c>
      <c r="G107" s="35">
        <f>G105-G106</f>
        <v>78782283.428670019</v>
      </c>
      <c r="H107" s="35">
        <f>H105-H106</f>
        <v>137963125.03942615</v>
      </c>
      <c r="I107" s="35">
        <f>I105-I106</f>
        <v>124355885.37000465</v>
      </c>
      <c r="P107" s="728"/>
      <c r="Q107" s="5"/>
      <c r="R107" s="5"/>
      <c r="S107" s="5"/>
      <c r="T107" s="5"/>
      <c r="U107" s="5"/>
      <c r="V107" s="5"/>
    </row>
    <row r="108" spans="3:22">
      <c r="C108" s="33" t="s">
        <v>133</v>
      </c>
      <c r="D108" s="26"/>
      <c r="E108" s="26">
        <f>SUM(E99:E104)*-1</f>
        <v>4538842.9752066117</v>
      </c>
      <c r="F108" s="26">
        <f>SUM(F99:F104)*-1</f>
        <v>4618842.9752066117</v>
      </c>
      <c r="G108" s="26">
        <f>SUM(G99:G104)*-1</f>
        <v>4498842.9752066117</v>
      </c>
      <c r="H108" s="26">
        <f>SUM(H99:H104)*-1</f>
        <v>4498842.9752066117</v>
      </c>
      <c r="I108" s="26">
        <f>SUM(I99:I104)*-1</f>
        <v>26033057.851239674</v>
      </c>
      <c r="P108" s="727"/>
      <c r="Q108" s="5"/>
      <c r="R108" s="5"/>
      <c r="S108" s="5"/>
      <c r="T108" s="5"/>
      <c r="U108" s="5"/>
      <c r="V108" s="5"/>
    </row>
    <row r="109" spans="3:22" ht="26.25">
      <c r="C109" s="33" t="s">
        <v>712</v>
      </c>
      <c r="D109" s="562">
        <v>-34161008.845333338</v>
      </c>
      <c r="E109" s="562">
        <v>-19927255.159777779</v>
      </c>
      <c r="F109" s="562">
        <v>-31314258.108222224</v>
      </c>
      <c r="G109" s="562">
        <v>-22774005.896888886</v>
      </c>
      <c r="H109" s="26"/>
      <c r="I109" s="26"/>
      <c r="P109" s="729"/>
      <c r="Q109" s="5"/>
      <c r="R109" s="5"/>
      <c r="S109" s="5"/>
      <c r="T109" s="5"/>
      <c r="U109" s="5"/>
    </row>
    <row r="110" spans="3:22">
      <c r="C110" s="25" t="s">
        <v>134</v>
      </c>
      <c r="D110" s="26"/>
      <c r="E110" s="26">
        <f>-Y57</f>
        <v>-8333333.333333333</v>
      </c>
      <c r="F110" s="26">
        <f>-Y58</f>
        <v>-8333333.333333333</v>
      </c>
      <c r="G110" s="26">
        <f>-Y59</f>
        <v>-8333333.333333333</v>
      </c>
      <c r="H110" s="26"/>
      <c r="I110" s="26"/>
      <c r="P110" s="4"/>
      <c r="R110" s="5"/>
      <c r="S110" s="5"/>
      <c r="T110" s="5"/>
      <c r="U110" s="5"/>
      <c r="V110" s="5"/>
    </row>
    <row r="111" spans="3:22">
      <c r="C111" s="25" t="s">
        <v>135</v>
      </c>
      <c r="D111" s="26">
        <v>25000000</v>
      </c>
      <c r="E111" s="26"/>
      <c r="F111" s="26"/>
      <c r="G111" s="26"/>
      <c r="H111" s="26"/>
      <c r="I111" s="26"/>
      <c r="P111" s="193"/>
      <c r="R111" s="5"/>
      <c r="S111" s="5"/>
      <c r="T111" s="5"/>
      <c r="U111" s="5"/>
      <c r="V111" s="5"/>
    </row>
    <row r="112" spans="3:22">
      <c r="C112" s="25" t="s">
        <v>315</v>
      </c>
      <c r="D112" s="26">
        <f>-M15</f>
        <v>-43388429.752066121</v>
      </c>
      <c r="E112" s="26"/>
      <c r="F112" s="26"/>
      <c r="G112" s="26"/>
      <c r="H112" s="26"/>
      <c r="I112" s="26"/>
      <c r="P112" s="193"/>
      <c r="Q112" s="5"/>
      <c r="V112" s="5"/>
    </row>
    <row r="113" spans="3:23" ht="13.5" thickBot="1">
      <c r="C113" s="25" t="s">
        <v>445</v>
      </c>
      <c r="D113" s="26"/>
      <c r="E113" s="26"/>
      <c r="F113" s="26"/>
      <c r="G113" s="26"/>
      <c r="I113" s="26"/>
      <c r="P113" s="193"/>
      <c r="Q113" s="5"/>
      <c r="R113" s="5"/>
      <c r="S113" s="5"/>
      <c r="T113" s="5"/>
      <c r="U113" s="5"/>
      <c r="V113" s="5"/>
    </row>
    <row r="114" spans="3:23">
      <c r="C114" s="286" t="s">
        <v>412</v>
      </c>
      <c r="D114" s="26"/>
      <c r="E114" s="26"/>
      <c r="F114" s="26"/>
      <c r="G114" s="26"/>
      <c r="H114" s="26"/>
      <c r="I114" s="211">
        <f>-SUM(D109:G109)</f>
        <v>108176528.01022223</v>
      </c>
      <c r="J114" s="675" t="s">
        <v>29</v>
      </c>
      <c r="P114" s="193"/>
      <c r="Q114" s="5"/>
      <c r="R114" s="5"/>
      <c r="S114" s="5"/>
      <c r="T114" s="5"/>
      <c r="U114" s="5"/>
      <c r="V114" s="5"/>
    </row>
    <row r="115" spans="3:23" ht="15" thickBot="1">
      <c r="C115" s="37" t="s">
        <v>139</v>
      </c>
      <c r="D115" s="35">
        <f t="shared" ref="D115:I115" si="2">SUM(D107:D114)</f>
        <v>-52549438.597399458</v>
      </c>
      <c r="E115" s="35">
        <f t="shared" si="2"/>
        <v>-77444283.361973897</v>
      </c>
      <c r="F115" s="35">
        <f t="shared" si="2"/>
        <v>-36681013.725275554</v>
      </c>
      <c r="G115" s="35">
        <f t="shared" si="2"/>
        <v>52173787.173654415</v>
      </c>
      <c r="H115" s="35">
        <f t="shared" si="2"/>
        <v>142461968.01463276</v>
      </c>
      <c r="I115" s="674">
        <f t="shared" si="2"/>
        <v>258565471.23146656</v>
      </c>
      <c r="J115" s="676">
        <f>NPV(C137,E115:I115)+D115</f>
        <v>8.1956386566162109E-8</v>
      </c>
      <c r="P115" s="726"/>
      <c r="Q115" s="5"/>
      <c r="R115" s="5"/>
      <c r="S115" s="5"/>
      <c r="T115" s="5"/>
      <c r="U115" s="5"/>
      <c r="V115" s="5"/>
      <c r="W115" s="297"/>
    </row>
    <row r="116" spans="3:23">
      <c r="C116" s="3"/>
      <c r="E116" s="5"/>
      <c r="F116" s="5"/>
      <c r="G116" s="5"/>
      <c r="H116" s="5"/>
      <c r="I116" s="5"/>
    </row>
    <row r="118" spans="3:23">
      <c r="E118" s="297"/>
      <c r="K118" s="274"/>
    </row>
    <row r="119" spans="3:23">
      <c r="C119" s="593" t="s">
        <v>753</v>
      </c>
      <c r="D119" s="380">
        <v>-51399438.597399458</v>
      </c>
      <c r="E119" s="380">
        <v>86245473.427198231</v>
      </c>
      <c r="F119" s="380">
        <v>222514448.41313586</v>
      </c>
      <c r="G119" s="380">
        <v>460487762.47991806</v>
      </c>
      <c r="H119" s="380">
        <v>658728524.94132233</v>
      </c>
      <c r="I119" s="380">
        <v>694298886.37148952</v>
      </c>
    </row>
    <row r="120" spans="3:23" ht="12.75" customHeight="1">
      <c r="N120" s="369"/>
      <c r="O120" s="369"/>
      <c r="P120" s="369"/>
      <c r="Q120" s="369"/>
    </row>
    <row r="121" spans="3:23">
      <c r="N121" s="369"/>
      <c r="O121" s="369"/>
      <c r="P121" s="369"/>
      <c r="Q121" s="369"/>
    </row>
    <row r="122" spans="3:23">
      <c r="N122" s="369"/>
      <c r="O122" s="369"/>
      <c r="P122" s="369"/>
      <c r="Q122" s="369"/>
    </row>
    <row r="123" spans="3:23">
      <c r="N123" s="369"/>
      <c r="O123" s="369"/>
      <c r="P123" s="369"/>
      <c r="Q123" s="369"/>
    </row>
    <row r="124" spans="3:23">
      <c r="K124" s="369"/>
      <c r="L124" s="369"/>
      <c r="M124" s="369"/>
      <c r="N124" s="369"/>
    </row>
    <row r="125" spans="3:23">
      <c r="G125" s="669" t="s">
        <v>821</v>
      </c>
      <c r="H125" s="669"/>
      <c r="I125" s="669"/>
      <c r="K125" s="369"/>
      <c r="L125" s="369"/>
      <c r="M125" s="369"/>
      <c r="N125" s="369"/>
    </row>
    <row r="126" spans="3:23">
      <c r="G126" s="669"/>
      <c r="H126" s="669"/>
      <c r="I126" s="669"/>
      <c r="K126" s="369"/>
      <c r="L126" s="369"/>
      <c r="M126" s="369"/>
      <c r="N126" s="369"/>
    </row>
    <row r="127" spans="3:23" ht="38.25">
      <c r="G127" s="670" t="s">
        <v>754</v>
      </c>
      <c r="H127" s="669"/>
      <c r="I127" s="669"/>
      <c r="K127" s="369"/>
      <c r="L127" s="369"/>
      <c r="M127" s="369"/>
      <c r="N127" s="369"/>
    </row>
    <row r="128" spans="3:23" ht="76.5">
      <c r="G128" s="670" t="s">
        <v>756</v>
      </c>
      <c r="H128" s="669"/>
      <c r="I128" s="669"/>
      <c r="K128" s="369"/>
      <c r="L128" s="369"/>
      <c r="M128" s="369"/>
      <c r="N128" s="369"/>
    </row>
    <row r="129" spans="2:17" ht="76.5">
      <c r="G129" s="670" t="s">
        <v>755</v>
      </c>
      <c r="H129" s="669"/>
      <c r="I129" s="669"/>
      <c r="N129" s="369"/>
      <c r="O129" s="369"/>
      <c r="P129" s="369"/>
      <c r="Q129" s="369"/>
    </row>
    <row r="130" spans="2:17">
      <c r="G130" s="669"/>
      <c r="H130" s="669"/>
      <c r="I130" s="669"/>
      <c r="N130" s="369"/>
      <c r="O130" s="369"/>
      <c r="P130" s="369"/>
      <c r="Q130" s="369"/>
    </row>
    <row r="131" spans="2:17">
      <c r="G131" s="670" t="s">
        <v>839</v>
      </c>
      <c r="H131" s="669"/>
      <c r="I131" s="669"/>
      <c r="N131" s="369"/>
      <c r="O131" s="369"/>
      <c r="P131" s="369"/>
      <c r="Q131" s="369"/>
    </row>
    <row r="132" spans="2:17" ht="14.25">
      <c r="G132" s="668" t="s">
        <v>757</v>
      </c>
      <c r="H132" s="669"/>
      <c r="I132" s="669"/>
      <c r="N132" s="369"/>
      <c r="O132" s="369"/>
      <c r="P132" s="369"/>
      <c r="Q132" s="369"/>
    </row>
    <row r="133" spans="2:17">
      <c r="G133" s="669"/>
      <c r="H133" s="669"/>
      <c r="I133" s="671" t="s">
        <v>760</v>
      </c>
      <c r="N133" s="369"/>
      <c r="O133" s="369"/>
      <c r="P133" s="369"/>
      <c r="Q133" s="369"/>
    </row>
    <row r="134" spans="2:17">
      <c r="G134" s="669" t="s">
        <v>758</v>
      </c>
      <c r="H134" s="672">
        <v>-0.06</v>
      </c>
      <c r="I134" s="673">
        <f>H134/H135</f>
        <v>-1.2</v>
      </c>
    </row>
    <row r="135" spans="2:17">
      <c r="G135" s="669" t="s">
        <v>759</v>
      </c>
      <c r="H135" s="672">
        <v>0.05</v>
      </c>
      <c r="I135" s="669"/>
    </row>
    <row r="136" spans="2:17" ht="15" thickBot="1">
      <c r="G136" s="669"/>
      <c r="H136" s="669"/>
      <c r="I136" s="669"/>
      <c r="N136" s="304"/>
      <c r="O136" s="352"/>
    </row>
    <row r="137" spans="2:17" ht="14.25">
      <c r="B137" s="40" t="s">
        <v>140</v>
      </c>
      <c r="C137" s="285">
        <f>C160</f>
        <v>0.32519999999999999</v>
      </c>
      <c r="G137" s="669"/>
      <c r="H137" s="669"/>
      <c r="I137" s="669"/>
      <c r="N137" s="305"/>
      <c r="O137" s="353"/>
    </row>
    <row r="138" spans="2:17" ht="15">
      <c r="B138" s="42" t="s">
        <v>141</v>
      </c>
      <c r="C138" s="43" t="s">
        <v>142</v>
      </c>
      <c r="G138" s="669" t="s">
        <v>822</v>
      </c>
      <c r="H138" s="669"/>
      <c r="I138" s="669"/>
    </row>
    <row r="139" spans="2:17" ht="15">
      <c r="B139" s="44" t="s">
        <v>143</v>
      </c>
      <c r="C139" s="1257">
        <f>C140+C141*(C142-C140)</f>
        <v>0.124</v>
      </c>
    </row>
    <row r="140" spans="2:17" ht="15">
      <c r="B140" s="44" t="s">
        <v>144</v>
      </c>
      <c r="C140" s="46">
        <v>0.04</v>
      </c>
      <c r="D140" s="4" t="s">
        <v>740</v>
      </c>
    </row>
    <row r="141" spans="2:17">
      <c r="B141" s="47" t="s">
        <v>7</v>
      </c>
      <c r="C141" s="48">
        <v>1.4</v>
      </c>
    </row>
    <row r="142" spans="2:17">
      <c r="B142" s="47" t="s">
        <v>146</v>
      </c>
      <c r="C142" s="49">
        <v>0.1</v>
      </c>
      <c r="D142" s="4"/>
    </row>
    <row r="143" spans="2:17">
      <c r="B143" s="47" t="s">
        <v>148</v>
      </c>
      <c r="C143" s="49">
        <v>0.35</v>
      </c>
      <c r="D143" s="4"/>
    </row>
    <row r="144" spans="2:17">
      <c r="B144" s="47" t="s">
        <v>150</v>
      </c>
      <c r="C144" s="49">
        <v>0.13980000000000001</v>
      </c>
      <c r="D144" s="4" t="s">
        <v>741</v>
      </c>
    </row>
    <row r="145" spans="2:16">
      <c r="B145" s="47" t="s">
        <v>152</v>
      </c>
      <c r="C145" s="49">
        <v>0.6</v>
      </c>
      <c r="D145" s="4"/>
      <c r="E145" s="4"/>
      <c r="F145" s="4"/>
    </row>
    <row r="146" spans="2:16" ht="13.5" thickBot="1">
      <c r="B146" s="50" t="s">
        <v>154</v>
      </c>
      <c r="C146" s="51">
        <v>0.4</v>
      </c>
      <c r="D146" s="4"/>
      <c r="E146" s="4"/>
      <c r="F146" s="4"/>
    </row>
    <row r="148" spans="2:16" ht="15.75">
      <c r="B148" s="570" t="s">
        <v>143</v>
      </c>
      <c r="C148" s="571">
        <f>C150+C149*(C151-C150)</f>
        <v>0.41000000000000003</v>
      </c>
      <c r="D148" t="s">
        <v>744</v>
      </c>
      <c r="L148" s="579"/>
    </row>
    <row r="149" spans="2:16" ht="14.25">
      <c r="B149" s="570" t="s">
        <v>745</v>
      </c>
      <c r="C149" s="491">
        <v>1.8</v>
      </c>
      <c r="D149" t="s">
        <v>746</v>
      </c>
    </row>
    <row r="150" spans="2:16" ht="14.25">
      <c r="B150" s="570" t="s">
        <v>144</v>
      </c>
      <c r="C150" s="572">
        <v>0.05</v>
      </c>
      <c r="D150" t="s">
        <v>747</v>
      </c>
      <c r="N150" s="580">
        <f>L163</f>
        <v>13000000</v>
      </c>
      <c r="O150" s="208">
        <v>1</v>
      </c>
    </row>
    <row r="151" spans="2:16" ht="14.25">
      <c r="B151" s="570" t="s">
        <v>146</v>
      </c>
      <c r="C151" s="572">
        <v>0.25</v>
      </c>
      <c r="N151" s="580">
        <f>L160</f>
        <v>2000000</v>
      </c>
      <c r="O151" s="581">
        <f>(N151*O150)/N150</f>
        <v>0.15384615384615385</v>
      </c>
    </row>
    <row r="153" spans="2:16">
      <c r="N153" s="580">
        <f>N150</f>
        <v>13000000</v>
      </c>
      <c r="O153" s="208">
        <v>1</v>
      </c>
    </row>
    <row r="154" spans="2:16" ht="14.25">
      <c r="B154" s="570" t="s">
        <v>748</v>
      </c>
      <c r="C154" s="574" t="s">
        <v>143</v>
      </c>
      <c r="D154" s="574" t="s">
        <v>152</v>
      </c>
      <c r="E154" s="574" t="s">
        <v>749</v>
      </c>
      <c r="F154" s="574" t="s">
        <v>150</v>
      </c>
      <c r="G154" s="574" t="s">
        <v>750</v>
      </c>
      <c r="H154" s="574" t="s">
        <v>154</v>
      </c>
      <c r="N154" s="582">
        <v>6000000</v>
      </c>
      <c r="O154" s="583">
        <f>(N154*O153)/N153</f>
        <v>0.46153846153846156</v>
      </c>
    </row>
    <row r="155" spans="2:16">
      <c r="C155" s="303"/>
      <c r="D155" s="303"/>
      <c r="E155" s="303"/>
      <c r="F155" s="303"/>
      <c r="G155" s="303"/>
      <c r="H155" s="303"/>
    </row>
    <row r="156" spans="2:16">
      <c r="C156" s="303"/>
      <c r="D156" s="303"/>
      <c r="E156" s="303"/>
      <c r="F156" s="303"/>
      <c r="G156" s="303"/>
      <c r="H156" s="303"/>
      <c r="L156" t="s">
        <v>751</v>
      </c>
      <c r="N156" s="580">
        <f>N150</f>
        <v>13000000</v>
      </c>
      <c r="O156" s="208">
        <v>1</v>
      </c>
    </row>
    <row r="157" spans="2:16" ht="14.25">
      <c r="C157" s="575">
        <f>C148</f>
        <v>0.41000000000000003</v>
      </c>
      <c r="D157" s="576">
        <v>0.6</v>
      </c>
      <c r="E157" s="574" t="s">
        <v>749</v>
      </c>
      <c r="F157" s="584">
        <f>P163</f>
        <v>0.30461538461538462</v>
      </c>
      <c r="G157" s="576">
        <f>1-0.35</f>
        <v>0.65</v>
      </c>
      <c r="H157" s="576">
        <v>0.4</v>
      </c>
      <c r="N157" s="582">
        <v>5000000</v>
      </c>
      <c r="O157" s="585">
        <f>(N157*O156)/N156</f>
        <v>0.38461538461538464</v>
      </c>
    </row>
    <row r="159" spans="2:16" ht="14.25">
      <c r="L159" s="570" t="s">
        <v>752</v>
      </c>
      <c r="N159" s="576" t="s">
        <v>1103</v>
      </c>
    </row>
    <row r="160" spans="2:16" ht="14.25">
      <c r="B160" s="570" t="s">
        <v>140</v>
      </c>
      <c r="C160" s="578">
        <f>(C157*D157)+(F157*G157*H157)</f>
        <v>0.32519999999999999</v>
      </c>
      <c r="L160" s="582">
        <v>2000000</v>
      </c>
      <c r="N160" s="1038">
        <v>0.18</v>
      </c>
      <c r="O160" s="586">
        <f>L160/$L$163</f>
        <v>0.15384615384615385</v>
      </c>
      <c r="P160" s="578">
        <f>N160*O160</f>
        <v>2.7692307692307693E-2</v>
      </c>
    </row>
    <row r="161" spans="12:16" ht="14.25">
      <c r="L161" s="582">
        <v>6000000</v>
      </c>
      <c r="N161" s="1038">
        <v>0.35</v>
      </c>
      <c r="O161" s="587">
        <f>L161/$L$163</f>
        <v>0.46153846153846156</v>
      </c>
      <c r="P161" s="578">
        <f>N161*O161</f>
        <v>0.16153846153846155</v>
      </c>
    </row>
    <row r="162" spans="12:16" ht="14.25">
      <c r="L162" s="588">
        <v>5000000</v>
      </c>
      <c r="N162" s="577">
        <v>0.3</v>
      </c>
      <c r="O162" s="590">
        <f>L162/$L$163</f>
        <v>0.38461538461538464</v>
      </c>
      <c r="P162" s="578">
        <f>N162*O162</f>
        <v>0.11538461538461539</v>
      </c>
    </row>
    <row r="163" spans="12:16" ht="15">
      <c r="L163" s="582">
        <f>SUM(L160:L162)</f>
        <v>13000000</v>
      </c>
      <c r="N163" s="491"/>
      <c r="P163" s="591">
        <f>SUM(P160:P162)</f>
        <v>0.30461538461538462</v>
      </c>
    </row>
    <row r="164" spans="12:16" ht="14.25">
      <c r="N164" s="491"/>
    </row>
  </sheetData>
  <mergeCells count="14">
    <mergeCell ref="M45:O45"/>
    <mergeCell ref="A2:B12"/>
    <mergeCell ref="M30:N30"/>
    <mergeCell ref="O35:S35"/>
    <mergeCell ref="M41:O41"/>
    <mergeCell ref="M42:O42"/>
    <mergeCell ref="J99:M99"/>
    <mergeCell ref="I47:L52"/>
    <mergeCell ref="M48:O48"/>
    <mergeCell ref="M51:N51"/>
    <mergeCell ref="V55:Y55"/>
    <mergeCell ref="M56:N56"/>
    <mergeCell ref="M64:Q64"/>
    <mergeCell ref="M72:Q72"/>
  </mergeCells>
  <pageMargins left="0.7" right="0.7" top="0.75" bottom="0.75" header="0.3" footer="0.3"/>
  <pageSetup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C8079-600A-4DCA-972B-C474094341B8}">
  <dimension ref="A2:Y174"/>
  <sheetViews>
    <sheetView topLeftCell="A7" zoomScaleNormal="100" workbookViewId="0">
      <selection activeCell="J81" sqref="J81"/>
    </sheetView>
  </sheetViews>
  <sheetFormatPr defaultRowHeight="12.75"/>
  <cols>
    <col min="3" max="3" width="35.42578125" bestFit="1" customWidth="1"/>
    <col min="4" max="4" width="37.28515625" bestFit="1" customWidth="1"/>
    <col min="5" max="5" width="16" bestFit="1" customWidth="1"/>
    <col min="6" max="6" width="17" bestFit="1" customWidth="1"/>
    <col min="7" max="7" width="30.140625" customWidth="1"/>
    <col min="8" max="8" width="18.5703125" customWidth="1"/>
    <col min="9" max="9" width="17.7109375" bestFit="1" customWidth="1"/>
    <col min="10" max="10" width="17.5703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5.140625" bestFit="1" customWidth="1"/>
    <col min="18" max="19" width="12.28515625" bestFit="1" customWidth="1"/>
    <col min="20" max="20" width="12" customWidth="1"/>
    <col min="21" max="21" width="13.42578125" bestFit="1" customWidth="1"/>
    <col min="22" max="22" width="12.85546875" bestFit="1" customWidth="1"/>
    <col min="23" max="23" width="13.42578125" bestFit="1" customWidth="1"/>
    <col min="24" max="24" width="12.42578125"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v>2000000</v>
      </c>
      <c r="N13" s="597" t="s">
        <v>506</v>
      </c>
      <c r="O13" s="351"/>
    </row>
    <row r="14" spans="1:15">
      <c r="M14" s="596">
        <f>M13/1.21</f>
        <v>1652892.561983471</v>
      </c>
      <c r="N14" s="597" t="s">
        <v>507</v>
      </c>
      <c r="O14" s="351"/>
    </row>
    <row r="15" spans="1:15">
      <c r="M15" s="596">
        <f>M14*1.1</f>
        <v>1818181.8181818184</v>
      </c>
      <c r="N15" s="597" t="s">
        <v>764</v>
      </c>
      <c r="O15" s="351"/>
    </row>
    <row r="16" spans="1:15">
      <c r="M16" s="598">
        <f>-(M14) *0.05</f>
        <v>-82644.628099173555</v>
      </c>
      <c r="N16" s="597" t="s">
        <v>765</v>
      </c>
    </row>
    <row r="19" spans="13:23" ht="13.5" thickBot="1"/>
    <row r="20" spans="13:23">
      <c r="M20" s="356"/>
      <c r="N20" s="357"/>
      <c r="O20" s="357"/>
      <c r="P20" s="357"/>
      <c r="Q20" s="357"/>
      <c r="R20" s="215"/>
    </row>
    <row r="21" spans="13:23">
      <c r="M21" s="218"/>
      <c r="N21" s="351"/>
      <c r="O21" s="351"/>
      <c r="P21" s="351"/>
      <c r="R21" s="358"/>
    </row>
    <row r="22" spans="13:23">
      <c r="M22" s="359"/>
      <c r="O22" s="351"/>
      <c r="P22" s="208"/>
      <c r="R22" s="360"/>
    </row>
    <row r="23" spans="13:23">
      <c r="M23" s="359"/>
      <c r="O23" s="351"/>
      <c r="P23" s="208"/>
      <c r="R23" s="217"/>
    </row>
    <row r="24" spans="13:23">
      <c r="M24" s="359"/>
      <c r="N24" s="351"/>
      <c r="O24" s="351"/>
      <c r="P24" s="208"/>
      <c r="R24" s="217"/>
    </row>
    <row r="25" spans="13:23">
      <c r="M25" s="359"/>
      <c r="N25" s="351"/>
      <c r="O25" s="351"/>
      <c r="P25" s="208"/>
      <c r="R25" s="217"/>
    </row>
    <row r="26" spans="13:23">
      <c r="M26" s="359"/>
      <c r="P26" s="208"/>
      <c r="R26" s="217"/>
    </row>
    <row r="27" spans="13:23">
      <c r="M27" s="359"/>
      <c r="P27" s="208"/>
      <c r="R27" s="217"/>
    </row>
    <row r="28" spans="13:23">
      <c r="M28" s="359"/>
      <c r="R28" s="217"/>
    </row>
    <row r="29" spans="13:23" ht="13.5" thickBot="1">
      <c r="M29" s="361"/>
      <c r="N29" s="362"/>
      <c r="O29" s="362"/>
      <c r="P29" s="362"/>
      <c r="Q29" s="362"/>
      <c r="R29" s="363"/>
    </row>
    <row r="30" spans="13:23">
      <c r="M30" s="1752"/>
      <c r="N30" s="1753"/>
      <c r="Q30" s="351"/>
      <c r="R30" s="217"/>
      <c r="S30" s="381"/>
      <c r="T30" s="382"/>
      <c r="U30" s="382"/>
      <c r="V30" s="382"/>
      <c r="W30" s="382"/>
    </row>
    <row r="31" spans="13:23">
      <c r="M31" s="354"/>
      <c r="N31" s="354"/>
      <c r="Q31" s="351"/>
      <c r="R31" s="261"/>
    </row>
    <row r="32" spans="13:23">
      <c r="M32" s="355"/>
      <c r="N32" s="355"/>
      <c r="Q32" s="351"/>
      <c r="R32" s="365"/>
      <c r="S32" s="254"/>
      <c r="T32" s="351"/>
    </row>
    <row r="34" spans="13:23">
      <c r="M34" s="351"/>
    </row>
    <row r="35" spans="13:23">
      <c r="O35" s="1751"/>
      <c r="P35" s="1613"/>
      <c r="Q35" s="1613"/>
      <c r="R35" s="1613"/>
      <c r="S35" s="1614"/>
    </row>
    <row r="36" spans="13:23">
      <c r="O36" s="354"/>
      <c r="P36" s="354"/>
      <c r="Q36" s="354"/>
      <c r="R36" s="354"/>
      <c r="S36" s="354"/>
    </row>
    <row r="37" spans="13:23">
      <c r="O37" s="355"/>
      <c r="P37" s="355"/>
      <c r="Q37" s="355"/>
      <c r="R37" s="355"/>
      <c r="S37" s="355"/>
    </row>
    <row r="41" spans="13:23">
      <c r="M41" s="1751"/>
      <c r="N41" s="1754"/>
      <c r="O41" s="1754"/>
      <c r="P41" s="300"/>
      <c r="Q41" s="300"/>
      <c r="R41" s="300"/>
      <c r="S41" s="300"/>
      <c r="T41" s="300"/>
      <c r="U41" s="301"/>
    </row>
    <row r="42" spans="13:23">
      <c r="M42" s="1751"/>
      <c r="N42" s="1613"/>
      <c r="O42" s="1614"/>
    </row>
    <row r="43" spans="13:23">
      <c r="M43" s="354"/>
      <c r="N43" s="354"/>
      <c r="O43" s="354"/>
    </row>
    <row r="44" spans="13:23">
      <c r="M44" s="367"/>
      <c r="N44" s="355"/>
      <c r="O44" s="355"/>
    </row>
    <row r="45" spans="13:23">
      <c r="M45" s="1751"/>
      <c r="N45" s="1613"/>
      <c r="O45" s="1614"/>
    </row>
    <row r="46" spans="13:23" ht="14.25">
      <c r="M46" s="354"/>
      <c r="N46" s="354"/>
      <c r="O46" s="354"/>
      <c r="U46" s="4"/>
      <c r="V46" s="547"/>
      <c r="W46" s="548"/>
    </row>
    <row r="47" spans="13:23">
      <c r="M47" s="367"/>
      <c r="N47" s="355"/>
      <c r="O47" s="355"/>
      <c r="U47" s="4"/>
      <c r="V47" s="4"/>
    </row>
    <row r="48" spans="13:23">
      <c r="M48" s="1751"/>
      <c r="N48" s="1613"/>
      <c r="O48" s="1614"/>
      <c r="U48" s="4"/>
      <c r="V48" s="3"/>
    </row>
    <row r="49" spans="2:25">
      <c r="M49" s="354"/>
      <c r="N49" s="354"/>
      <c r="O49" s="354"/>
      <c r="U49" s="4"/>
      <c r="V49" s="4"/>
    </row>
    <row r="50" spans="2:25">
      <c r="M50" s="367"/>
      <c r="N50" s="355"/>
      <c r="O50" s="355"/>
      <c r="U50" s="4"/>
      <c r="V50" s="4"/>
    </row>
    <row r="51" spans="2:25">
      <c r="M51" s="1751"/>
      <c r="N51" s="1614"/>
      <c r="U51" s="4"/>
      <c r="V51" s="4"/>
    </row>
    <row r="52" spans="2:25" ht="13.5" thickBot="1">
      <c r="G52" s="600" t="s">
        <v>788</v>
      </c>
      <c r="H52" s="600"/>
      <c r="I52" s="600"/>
      <c r="J52" s="600"/>
      <c r="K52" s="600"/>
      <c r="M52" s="354"/>
      <c r="N52" s="354"/>
      <c r="U52" s="4"/>
      <c r="V52" s="549"/>
    </row>
    <row r="53" spans="2:25" ht="15.75" thickBot="1">
      <c r="G53" s="1775" t="s">
        <v>789</v>
      </c>
      <c r="H53" s="1776"/>
      <c r="I53" s="1776"/>
      <c r="J53" s="1776"/>
      <c r="K53" s="1777"/>
      <c r="M53" s="355"/>
      <c r="N53" s="355"/>
      <c r="O53" s="366"/>
      <c r="P53" s="364"/>
    </row>
    <row r="54" spans="2:25" ht="15.75" thickBot="1">
      <c r="G54" s="601" t="s">
        <v>105</v>
      </c>
      <c r="H54" s="602" t="s">
        <v>220</v>
      </c>
      <c r="I54" s="603" t="s">
        <v>790</v>
      </c>
      <c r="J54" s="603" t="s">
        <v>791</v>
      </c>
      <c r="K54" s="604" t="s">
        <v>792</v>
      </c>
    </row>
    <row r="55" spans="2:25" ht="15">
      <c r="G55" s="605" t="s">
        <v>451</v>
      </c>
      <c r="H55" s="606">
        <v>150</v>
      </c>
      <c r="I55" s="607">
        <v>4500000</v>
      </c>
      <c r="J55" s="608">
        <v>800000</v>
      </c>
      <c r="K55" s="609">
        <f>I55*K62+J55*K63</f>
        <v>175000</v>
      </c>
      <c r="U55" s="550"/>
      <c r="V55" s="1748"/>
      <c r="W55" s="1749"/>
      <c r="X55" s="1749"/>
      <c r="Y55" s="1750"/>
    </row>
    <row r="56" spans="2:25" ht="15">
      <c r="G56" s="610" t="s">
        <v>632</v>
      </c>
      <c r="H56" s="611">
        <v>155</v>
      </c>
      <c r="I56" s="612">
        <v>4600000</v>
      </c>
      <c r="J56" s="613">
        <v>800000</v>
      </c>
      <c r="K56" s="614">
        <f>I56*K62+J56*K63+(H56-H55)*K64</f>
        <v>177500</v>
      </c>
      <c r="M56" s="1635" t="s">
        <v>547</v>
      </c>
      <c r="N56" s="1635"/>
      <c r="U56" s="551"/>
      <c r="V56" s="552"/>
      <c r="W56" s="552"/>
      <c r="X56" s="552"/>
      <c r="Y56" s="553"/>
    </row>
    <row r="57" spans="2:25" ht="15">
      <c r="G57" s="610" t="s">
        <v>793</v>
      </c>
      <c r="H57" s="611">
        <v>160</v>
      </c>
      <c r="I57" s="612">
        <v>4750000</v>
      </c>
      <c r="J57" s="613">
        <v>600000</v>
      </c>
      <c r="K57" s="614">
        <f>I57*K62+J57*K63+(H57-H56)*K64</f>
        <v>172000</v>
      </c>
      <c r="N57" s="259" t="s">
        <v>0</v>
      </c>
      <c r="U57" s="554"/>
      <c r="V57" s="555"/>
      <c r="W57" s="556"/>
      <c r="X57" s="555"/>
      <c r="Y57" s="557"/>
    </row>
    <row r="58" spans="2:25" ht="15">
      <c r="G58" s="610" t="s">
        <v>794</v>
      </c>
      <c r="H58" s="611">
        <v>160</v>
      </c>
      <c r="I58" s="612">
        <v>4750000</v>
      </c>
      <c r="J58" s="613">
        <v>600000</v>
      </c>
      <c r="K58" s="614">
        <f>I58*K62+J58*K63+(H58-H57)*K64</f>
        <v>172500</v>
      </c>
      <c r="M58" s="21"/>
      <c r="N58" s="260">
        <v>0.1</v>
      </c>
      <c r="O58" s="261" t="s">
        <v>3</v>
      </c>
      <c r="P58" s="261" t="s">
        <v>3</v>
      </c>
      <c r="U58" s="554"/>
      <c r="V58" s="558"/>
      <c r="W58" s="556"/>
      <c r="X58" s="555"/>
      <c r="Y58" s="557"/>
    </row>
    <row r="59" spans="2:25" ht="15.75" thickBot="1">
      <c r="G59" s="615" t="s">
        <v>795</v>
      </c>
      <c r="H59" s="616">
        <v>170</v>
      </c>
      <c r="I59" s="617">
        <v>4900000</v>
      </c>
      <c r="J59" s="618">
        <v>500000</v>
      </c>
      <c r="K59" s="619">
        <f>I59*K62+J59*K63+(H59-H58)*K64</f>
        <v>171000</v>
      </c>
      <c r="M59" s="21"/>
      <c r="N59" s="23" t="s">
        <v>3</v>
      </c>
      <c r="O59" s="261">
        <f>(1+N58/6)^6</f>
        <v>1.1042604244041494</v>
      </c>
      <c r="P59" s="266">
        <f>O59-1</f>
        <v>0.1042604244041494</v>
      </c>
      <c r="U59" s="559"/>
      <c r="V59" s="560"/>
      <c r="W59" s="556"/>
      <c r="X59" s="561"/>
      <c r="Y59" s="557"/>
    </row>
    <row r="60" spans="2:25" ht="13.5" thickBot="1">
      <c r="M60" s="21"/>
      <c r="N60" s="23"/>
    </row>
    <row r="61" spans="2:25" ht="15">
      <c r="G61" s="620" t="s">
        <v>796</v>
      </c>
      <c r="J61" s="1771" t="s">
        <v>797</v>
      </c>
      <c r="K61" s="1772"/>
      <c r="M61" s="21"/>
      <c r="N61" s="39"/>
    </row>
    <row r="62" spans="2:25" ht="14.25">
      <c r="J62" s="621" t="s">
        <v>798</v>
      </c>
      <c r="K62" s="622">
        <v>0.03</v>
      </c>
      <c r="M62" s="21"/>
      <c r="N62" s="23"/>
    </row>
    <row r="63" spans="2:25" ht="14.25">
      <c r="J63" s="621" t="s">
        <v>799</v>
      </c>
      <c r="K63" s="622">
        <v>0.05</v>
      </c>
    </row>
    <row r="64" spans="2:25" ht="15" thickBot="1">
      <c r="B64" s="382" t="s">
        <v>812</v>
      </c>
      <c r="C64" s="382"/>
      <c r="D64" s="382"/>
      <c r="E64" s="382"/>
      <c r="F64" s="351" t="s">
        <v>850</v>
      </c>
      <c r="J64" s="623" t="s">
        <v>800</v>
      </c>
      <c r="K64" s="624">
        <v>-100</v>
      </c>
      <c r="M64" s="1615" t="s">
        <v>103</v>
      </c>
      <c r="N64" s="1613"/>
      <c r="O64" s="1613"/>
      <c r="P64" s="1613"/>
      <c r="Q64" s="1614"/>
      <c r="S64" s="351"/>
    </row>
    <row r="65" spans="2:22" ht="51">
      <c r="B65" s="382" t="s">
        <v>813</v>
      </c>
      <c r="C65" s="382"/>
      <c r="D65" s="382"/>
      <c r="E65" s="382"/>
      <c r="F65" s="667" t="s">
        <v>846</v>
      </c>
      <c r="M65" s="24" t="s">
        <v>105</v>
      </c>
      <c r="N65" s="24" t="s">
        <v>106</v>
      </c>
      <c r="O65" s="24" t="s">
        <v>102</v>
      </c>
      <c r="P65" s="24" t="s">
        <v>134</v>
      </c>
      <c r="Q65" s="24" t="s">
        <v>107</v>
      </c>
    </row>
    <row r="66" spans="2:22">
      <c r="B66" s="382" t="s">
        <v>814</v>
      </c>
      <c r="C66" s="382"/>
      <c r="D66" s="382"/>
      <c r="E66" s="382"/>
      <c r="F66" s="351" t="s">
        <v>848</v>
      </c>
      <c r="M66" s="25"/>
      <c r="N66" s="26"/>
      <c r="O66" s="26"/>
      <c r="P66" s="26"/>
      <c r="Q66" s="26">
        <f>D119</f>
        <v>2042727.2727272727</v>
      </c>
    </row>
    <row r="67" spans="2:22">
      <c r="B67" s="382" t="s">
        <v>815</v>
      </c>
      <c r="C67" s="382"/>
      <c r="D67" s="382"/>
      <c r="E67" s="382"/>
      <c r="F67" s="351" t="s">
        <v>849</v>
      </c>
      <c r="M67" s="25">
        <v>1</v>
      </c>
      <c r="N67" s="26">
        <f>P59*Q66/(1-(1+P59)^-3)</f>
        <v>827578.93858927838</v>
      </c>
      <c r="O67" s="26">
        <f>Q66*P59</f>
        <v>212975.61239647609</v>
      </c>
      <c r="P67" s="26">
        <f>N67-O67</f>
        <v>614603.32619280228</v>
      </c>
      <c r="Q67" s="26">
        <f>Q66-P67</f>
        <v>1428123.9465344704</v>
      </c>
    </row>
    <row r="68" spans="2:22">
      <c r="B68" s="382" t="s">
        <v>816</v>
      </c>
      <c r="C68" s="382"/>
      <c r="D68" s="382"/>
      <c r="E68" s="382"/>
      <c r="M68" s="25">
        <v>2</v>
      </c>
      <c r="N68" s="26">
        <f>P59*Q66/(1-(1+P59)^-3)</f>
        <v>827578.93858927838</v>
      </c>
      <c r="O68" s="26">
        <f>Q67*P59</f>
        <v>148896.80876741264</v>
      </c>
      <c r="P68" s="26">
        <f>N68-O68</f>
        <v>678682.1298218657</v>
      </c>
      <c r="Q68" s="26">
        <f>Q67-P68</f>
        <v>749441.81671260472</v>
      </c>
    </row>
    <row r="69" spans="2:22">
      <c r="M69" s="25">
        <v>3</v>
      </c>
      <c r="N69" s="26">
        <f>P59*Q66/(1-(1+P59)^-3)</f>
        <v>827578.93858927838</v>
      </c>
      <c r="O69" s="26">
        <f>P59*Q68</f>
        <v>78137.121876672914</v>
      </c>
      <c r="P69" s="26">
        <f>N69-O69</f>
        <v>749441.81671260542</v>
      </c>
      <c r="Q69" s="26">
        <f>Q68-P69</f>
        <v>0</v>
      </c>
    </row>
    <row r="70" spans="2:22">
      <c r="M70" s="25"/>
      <c r="N70" s="26"/>
      <c r="O70" s="26"/>
      <c r="P70" s="26"/>
      <c r="Q70" s="26"/>
    </row>
    <row r="71" spans="2:22">
      <c r="G71" s="351" t="s">
        <v>847</v>
      </c>
      <c r="M71" s="25"/>
      <c r="N71" s="26"/>
      <c r="O71" s="26"/>
      <c r="P71" s="26"/>
      <c r="Q71" s="26"/>
    </row>
    <row r="72" spans="2:22">
      <c r="M72" s="1615"/>
      <c r="N72" s="1613"/>
      <c r="O72" s="1613"/>
      <c r="P72" s="1613"/>
      <c r="Q72" s="1613"/>
    </row>
    <row r="73" spans="2:22">
      <c r="M73" s="24"/>
      <c r="N73" s="24"/>
      <c r="O73" s="24"/>
      <c r="P73" s="24"/>
      <c r="Q73" s="212"/>
    </row>
    <row r="74" spans="2:22" ht="13.5" customHeight="1">
      <c r="M74" s="25"/>
      <c r="N74" s="26"/>
      <c r="O74" s="26"/>
      <c r="P74" s="26"/>
      <c r="Q74" s="26"/>
    </row>
    <row r="75" spans="2:22">
      <c r="M75" s="25"/>
      <c r="N75" s="26"/>
      <c r="O75" s="26"/>
      <c r="P75" s="26"/>
      <c r="Q75" s="211"/>
    </row>
    <row r="76" spans="2:22">
      <c r="M76" s="25"/>
      <c r="N76" s="26"/>
      <c r="O76" s="26"/>
      <c r="P76" s="26"/>
      <c r="Q76" s="211"/>
    </row>
    <row r="77" spans="2:22">
      <c r="H77" s="254"/>
      <c r="M77" s="25"/>
      <c r="N77" s="26"/>
      <c r="O77" s="26"/>
      <c r="P77" s="26"/>
      <c r="Q77" s="211"/>
    </row>
    <row r="79" spans="2:22">
      <c r="C79" s="272" t="s">
        <v>365</v>
      </c>
      <c r="D79" s="25"/>
      <c r="E79" s="625">
        <f>K55</f>
        <v>175000</v>
      </c>
      <c r="F79" s="625">
        <f>K56</f>
        <v>177500</v>
      </c>
      <c r="G79" s="625">
        <f>K57</f>
        <v>172000</v>
      </c>
      <c r="H79" s="625">
        <f>K58</f>
        <v>172500</v>
      </c>
      <c r="I79" s="625">
        <f>K59</f>
        <v>171000</v>
      </c>
      <c r="P79" s="272"/>
      <c r="Q79" s="25"/>
      <c r="R79" s="25"/>
      <c r="S79" s="25"/>
      <c r="T79" s="25"/>
      <c r="U79" s="25"/>
      <c r="V79" s="25"/>
    </row>
    <row r="80" spans="2:22">
      <c r="C80" s="27" t="s">
        <v>361</v>
      </c>
      <c r="D80" s="27" t="s">
        <v>112</v>
      </c>
      <c r="E80" s="27" t="s">
        <v>113</v>
      </c>
      <c r="F80" s="27" t="s">
        <v>114</v>
      </c>
      <c r="G80" s="27" t="s">
        <v>115</v>
      </c>
      <c r="H80" s="27" t="s">
        <v>116</v>
      </c>
      <c r="I80" s="27" t="s">
        <v>117</v>
      </c>
      <c r="P80" s="27"/>
      <c r="Q80" s="27"/>
      <c r="R80" s="27"/>
      <c r="S80" s="27"/>
      <c r="T80" s="27"/>
      <c r="U80" s="27"/>
      <c r="V80" s="27"/>
    </row>
    <row r="81" spans="3:22">
      <c r="C81" s="269" t="s">
        <v>118</v>
      </c>
      <c r="D81" s="270"/>
      <c r="E81" s="270"/>
      <c r="F81" s="270"/>
      <c r="G81" s="270"/>
      <c r="H81" s="270"/>
      <c r="I81" s="270"/>
      <c r="P81" s="269"/>
      <c r="Q81" s="270"/>
      <c r="R81" s="270"/>
      <c r="S81" s="270"/>
      <c r="T81" s="270"/>
      <c r="U81" s="270"/>
      <c r="V81" s="270"/>
    </row>
    <row r="82" spans="3:22">
      <c r="C82" s="25" t="s">
        <v>356</v>
      </c>
      <c r="D82" s="26"/>
      <c r="E82" s="26">
        <f>H55*E79</f>
        <v>26250000</v>
      </c>
      <c r="F82" s="26">
        <f>H56*F79</f>
        <v>27512500</v>
      </c>
      <c r="G82" s="26">
        <f>H57*G79</f>
        <v>27520000</v>
      </c>
      <c r="H82" s="26">
        <f>H58*H79</f>
        <v>27600000</v>
      </c>
      <c r="I82" s="26">
        <f>H59*I79</f>
        <v>29070000</v>
      </c>
      <c r="P82" s="25"/>
      <c r="Q82" s="26"/>
      <c r="R82" s="26"/>
      <c r="S82" s="26"/>
      <c r="T82" s="26"/>
      <c r="U82" s="26"/>
      <c r="V82" s="26"/>
    </row>
    <row r="83" spans="3:22">
      <c r="C83" s="25" t="s">
        <v>119</v>
      </c>
      <c r="D83" s="26"/>
      <c r="E83" s="26"/>
      <c r="F83" s="26"/>
      <c r="G83" s="26"/>
      <c r="H83" s="26"/>
      <c r="I83" s="26"/>
      <c r="P83" s="25"/>
      <c r="Q83" s="26"/>
      <c r="R83" s="26"/>
      <c r="S83" s="26"/>
      <c r="T83" s="26"/>
      <c r="U83" s="26"/>
      <c r="V83" s="26"/>
    </row>
    <row r="84" spans="3:22">
      <c r="C84" s="25" t="s">
        <v>771</v>
      </c>
      <c r="D84" s="26"/>
      <c r="E84" s="26"/>
      <c r="F84" s="26"/>
      <c r="G84" s="26"/>
      <c r="H84" s="26"/>
      <c r="I84" s="26">
        <f>M14*0.5</f>
        <v>826446.28099173552</v>
      </c>
      <c r="J84" t="s">
        <v>763</v>
      </c>
      <c r="P84" s="25"/>
      <c r="Q84" s="26"/>
      <c r="R84" s="26"/>
      <c r="S84" s="26"/>
      <c r="T84" s="26"/>
      <c r="U84" s="26"/>
      <c r="V84" s="26"/>
    </row>
    <row r="85" spans="3:22">
      <c r="C85" s="25" t="s">
        <v>783</v>
      </c>
      <c r="D85" s="26"/>
      <c r="E85" s="26"/>
      <c r="F85" s="26"/>
      <c r="G85" s="26"/>
      <c r="H85" s="26"/>
      <c r="I85" s="280">
        <f>D121*-1*0.6*0.3</f>
        <v>180000</v>
      </c>
      <c r="J85" t="s">
        <v>770</v>
      </c>
      <c r="P85" s="25"/>
      <c r="Q85" s="26"/>
      <c r="R85" s="26"/>
      <c r="S85" s="26"/>
      <c r="T85" s="26"/>
      <c r="U85" s="26"/>
      <c r="V85" s="280"/>
    </row>
    <row r="86" spans="3:22">
      <c r="C86" s="25" t="s">
        <v>784</v>
      </c>
      <c r="D86" s="26"/>
      <c r="E86" s="26"/>
      <c r="F86" s="26"/>
      <c r="G86" s="26">
        <f>D121*0.4*0.6*-1</f>
        <v>240000</v>
      </c>
      <c r="H86" s="26"/>
      <c r="I86" s="280"/>
      <c r="P86" s="25"/>
      <c r="Q86" s="26"/>
      <c r="R86" s="26"/>
      <c r="S86" s="26"/>
      <c r="T86" s="26"/>
      <c r="U86" s="26"/>
      <c r="V86" s="280"/>
    </row>
    <row r="87" spans="3:22" ht="30" customHeight="1">
      <c r="C87" s="25" t="s">
        <v>774</v>
      </c>
      <c r="D87" s="26"/>
      <c r="E87" s="26"/>
      <c r="F87" s="26"/>
      <c r="G87" s="26"/>
      <c r="H87" s="26"/>
      <c r="I87" s="1592">
        <f>G122*-1*0.3</f>
        <v>75000</v>
      </c>
      <c r="J87" s="1773" t="s">
        <v>1523</v>
      </c>
      <c r="K87" s="1774"/>
      <c r="L87" s="1774"/>
      <c r="M87" s="1774"/>
      <c r="N87" s="1774"/>
      <c r="P87" s="25"/>
      <c r="Q87" s="26"/>
      <c r="R87" s="26"/>
      <c r="S87" s="26"/>
      <c r="T87" s="26"/>
      <c r="U87" s="26"/>
      <c r="V87" s="280"/>
    </row>
    <row r="88" spans="3:22">
      <c r="C88" s="269" t="s">
        <v>121</v>
      </c>
      <c r="D88" s="270"/>
      <c r="E88" s="270"/>
      <c r="F88" s="270"/>
      <c r="G88" s="270"/>
      <c r="H88" s="270"/>
      <c r="I88" s="270"/>
      <c r="P88" s="269"/>
      <c r="Q88" s="270"/>
      <c r="R88" s="270"/>
      <c r="S88" s="270"/>
      <c r="T88" s="270"/>
      <c r="U88" s="270"/>
      <c r="V88" s="270"/>
    </row>
    <row r="89" spans="3:22">
      <c r="C89" s="25" t="s">
        <v>122</v>
      </c>
      <c r="D89" s="26"/>
      <c r="E89" s="26">
        <f>O67*-1</f>
        <v>-212975.61239647609</v>
      </c>
      <c r="F89" s="26">
        <f>O68*-1</f>
        <v>-148896.80876741264</v>
      </c>
      <c r="G89" s="26">
        <f>O69*-1</f>
        <v>-78137.121876672914</v>
      </c>
      <c r="H89" s="26"/>
      <c r="I89" s="26"/>
      <c r="P89" s="25"/>
      <c r="Q89" s="26"/>
      <c r="R89" s="26"/>
      <c r="S89" s="26"/>
      <c r="T89" s="26"/>
      <c r="U89" s="26"/>
      <c r="V89" s="26"/>
    </row>
    <row r="90" spans="3:22">
      <c r="C90" s="47" t="s">
        <v>801</v>
      </c>
      <c r="D90" s="26"/>
      <c r="E90" s="26">
        <v>-1000000</v>
      </c>
      <c r="F90" s="26">
        <v>-1000000</v>
      </c>
      <c r="G90" s="26">
        <v>-1000000</v>
      </c>
      <c r="H90" s="26">
        <v>-1000000</v>
      </c>
      <c r="I90" s="26">
        <v>-1000000</v>
      </c>
      <c r="K90" t="s">
        <v>776</v>
      </c>
      <c r="P90" s="47"/>
      <c r="Q90" s="26"/>
      <c r="R90" s="26"/>
      <c r="S90" s="26"/>
      <c r="T90" s="26"/>
      <c r="U90" s="26"/>
      <c r="V90" s="26"/>
    </row>
    <row r="91" spans="3:22">
      <c r="C91" s="631" t="s">
        <v>811</v>
      </c>
      <c r="D91" s="26"/>
      <c r="E91" s="26">
        <f>-E82*0.015</f>
        <v>-393750</v>
      </c>
      <c r="F91" s="26">
        <f>-F82*0.015</f>
        <v>-412687.5</v>
      </c>
      <c r="G91" s="26">
        <f>-G82*0.015</f>
        <v>-412800</v>
      </c>
      <c r="H91" s="26">
        <f>-H82*0.015</f>
        <v>-414000</v>
      </c>
      <c r="I91" s="26">
        <f>-I82*0.015</f>
        <v>-436050</v>
      </c>
      <c r="P91" s="47"/>
      <c r="Q91" s="26"/>
      <c r="R91" s="26"/>
      <c r="S91" s="26"/>
      <c r="T91" s="26"/>
      <c r="U91" s="26"/>
      <c r="V91" s="26"/>
    </row>
    <row r="92" spans="3:22">
      <c r="C92" s="632">
        <v>0.05</v>
      </c>
      <c r="D92" s="26"/>
      <c r="E92" s="26">
        <f>-E82*0.05</f>
        <v>-1312500</v>
      </c>
      <c r="F92" s="26">
        <f>-F82*0.05</f>
        <v>-1375625</v>
      </c>
      <c r="G92" s="26">
        <f>-G82*0.05</f>
        <v>-1376000</v>
      </c>
      <c r="H92" s="26">
        <f>-H82*0.05</f>
        <v>-1380000</v>
      </c>
      <c r="I92" s="26">
        <f>-I82*0.05</f>
        <v>-1453500</v>
      </c>
      <c r="P92" s="47"/>
      <c r="Q92" s="26"/>
      <c r="R92" s="26"/>
      <c r="S92" s="26"/>
      <c r="T92" s="26"/>
      <c r="U92" s="26"/>
      <c r="V92" s="26"/>
    </row>
    <row r="93" spans="3:22">
      <c r="C93" s="47" t="s">
        <v>802</v>
      </c>
      <c r="D93" s="26"/>
      <c r="E93" s="26">
        <f>(E82+E91+E92)*0.02*-1</f>
        <v>-490875</v>
      </c>
      <c r="F93" s="26">
        <f>(F82+F91+F92)*0.02*-1</f>
        <v>-514483.75</v>
      </c>
      <c r="G93" s="26">
        <f>(G82+G91+G92)*0.02*-1</f>
        <v>-514624</v>
      </c>
      <c r="H93" s="26">
        <f>(H82+H91+H92)*0.02*-1</f>
        <v>-516120</v>
      </c>
      <c r="I93" s="26">
        <f>(I82+I91+I92)*0.02*-1</f>
        <v>-543609</v>
      </c>
      <c r="K93" s="1252">
        <f>125000/(1+0.7)^3</f>
        <v>25442.703032770205</v>
      </c>
      <c r="P93" s="47"/>
      <c r="Q93" s="26"/>
      <c r="R93" s="26"/>
      <c r="S93" s="26"/>
      <c r="T93" s="26"/>
      <c r="U93" s="26"/>
      <c r="V93" s="26"/>
    </row>
    <row r="94" spans="3:22" ht="15.75" customHeight="1">
      <c r="C94" s="287" t="s">
        <v>803</v>
      </c>
      <c r="D94" s="26"/>
      <c r="E94" s="26">
        <f>-500000</f>
        <v>-500000</v>
      </c>
      <c r="F94" s="26">
        <f>-500000</f>
        <v>-500000</v>
      </c>
      <c r="G94" s="26">
        <f>-500000</f>
        <v>-500000</v>
      </c>
      <c r="H94" s="26">
        <f>-500000</f>
        <v>-500000</v>
      </c>
      <c r="I94" s="26">
        <f>-500000</f>
        <v>-500000</v>
      </c>
      <c r="K94" t="s">
        <v>777</v>
      </c>
      <c r="P94" s="287"/>
      <c r="Q94" s="26"/>
      <c r="R94" s="26"/>
      <c r="S94" s="26"/>
      <c r="T94" s="26"/>
      <c r="U94" s="26"/>
      <c r="V94" s="26"/>
    </row>
    <row r="95" spans="3:22" ht="15.75" customHeight="1">
      <c r="C95" s="199" t="s">
        <v>844</v>
      </c>
      <c r="D95" s="26"/>
      <c r="E95" s="26">
        <f>E79*$M$134*-1</f>
        <v>-11375000</v>
      </c>
      <c r="F95" s="26">
        <f>F79*$M$134*-1</f>
        <v>-11537500</v>
      </c>
      <c r="G95" s="26">
        <f>G79*$M$134*-1</f>
        <v>-11180000</v>
      </c>
      <c r="H95" s="26">
        <f>H79*$M$134*-1</f>
        <v>-11212500</v>
      </c>
      <c r="I95" s="26">
        <f>I79*$M$134*-1</f>
        <v>-11115000</v>
      </c>
      <c r="P95" s="199"/>
      <c r="Q95" s="26"/>
      <c r="R95" s="26"/>
      <c r="S95" s="26"/>
      <c r="T95" s="26"/>
      <c r="U95" s="26"/>
      <c r="V95" s="26"/>
    </row>
    <row r="96" spans="3:22" ht="15.75" customHeight="1">
      <c r="C96" s="199" t="s">
        <v>762</v>
      </c>
      <c r="D96" s="26"/>
      <c r="E96" s="26">
        <f>-75000*12</f>
        <v>-900000</v>
      </c>
      <c r="F96" s="26">
        <f>-75000*12</f>
        <v>-900000</v>
      </c>
      <c r="G96" s="26">
        <f>-75000*12</f>
        <v>-900000</v>
      </c>
      <c r="H96" s="26">
        <f>-75000*12</f>
        <v>-900000</v>
      </c>
      <c r="I96" s="26">
        <f>-75000*12</f>
        <v>-900000</v>
      </c>
      <c r="P96" s="199"/>
      <c r="Q96" s="26"/>
      <c r="R96" s="26"/>
      <c r="S96" s="26"/>
      <c r="T96" s="26"/>
      <c r="U96" s="26"/>
      <c r="V96" s="26"/>
    </row>
    <row r="97" spans="3:22" ht="15.75" customHeight="1">
      <c r="C97" s="199"/>
      <c r="D97" s="26"/>
      <c r="E97" s="26"/>
      <c r="F97" s="26"/>
      <c r="G97" s="26"/>
      <c r="H97" s="26"/>
      <c r="I97" s="26"/>
      <c r="P97" s="199"/>
      <c r="Q97" s="26"/>
      <c r="R97" s="26"/>
      <c r="S97" s="26"/>
      <c r="T97" s="26"/>
      <c r="U97" s="26"/>
      <c r="V97" s="26"/>
    </row>
    <row r="98" spans="3:22" ht="15.75" customHeight="1">
      <c r="C98" s="199" t="s">
        <v>518</v>
      </c>
      <c r="D98" s="26"/>
      <c r="E98" s="26"/>
      <c r="F98" s="26"/>
      <c r="G98" s="26"/>
      <c r="H98" s="26"/>
      <c r="I98" s="26"/>
      <c r="P98" s="199"/>
      <c r="Q98" s="26"/>
      <c r="R98" s="26"/>
      <c r="S98" s="26"/>
      <c r="T98" s="26"/>
      <c r="U98" s="26"/>
      <c r="V98" s="26"/>
    </row>
    <row r="99" spans="3:22" ht="15.75" customHeight="1">
      <c r="C99" s="199" t="s">
        <v>478</v>
      </c>
      <c r="D99" s="26"/>
      <c r="E99" s="26"/>
      <c r="F99" s="26"/>
      <c r="G99" s="26"/>
      <c r="H99" s="26"/>
      <c r="I99" s="26"/>
      <c r="P99" s="199"/>
      <c r="Q99" s="26"/>
      <c r="R99" s="26"/>
      <c r="S99" s="26"/>
      <c r="T99" s="26"/>
      <c r="U99" s="26"/>
      <c r="V99" s="26"/>
    </row>
    <row r="100" spans="3:22" ht="15.75" customHeight="1">
      <c r="C100" s="199" t="s">
        <v>543</v>
      </c>
      <c r="D100" s="26"/>
      <c r="E100" s="26"/>
      <c r="F100" s="26"/>
      <c r="G100" s="26"/>
      <c r="H100" s="26"/>
      <c r="I100" s="26"/>
      <c r="P100" s="199"/>
      <c r="Q100" s="26"/>
      <c r="R100" s="26"/>
      <c r="S100" s="26"/>
      <c r="T100" s="26"/>
      <c r="U100" s="26"/>
      <c r="V100" s="26"/>
    </row>
    <row r="101" spans="3:22" ht="15.75" customHeight="1">
      <c r="C101" s="199" t="s">
        <v>766</v>
      </c>
      <c r="D101" s="26"/>
      <c r="E101" s="26"/>
      <c r="F101" s="26"/>
      <c r="G101" s="26"/>
      <c r="H101" s="26"/>
      <c r="I101" s="26">
        <f>M16</f>
        <v>-82644.628099173555</v>
      </c>
      <c r="P101" s="199"/>
      <c r="Q101" s="26"/>
      <c r="R101" s="26"/>
      <c r="S101" s="26"/>
      <c r="T101" s="26"/>
      <c r="U101" s="26"/>
      <c r="V101" s="26"/>
    </row>
    <row r="102" spans="3:22">
      <c r="C102" s="267" t="s">
        <v>125</v>
      </c>
      <c r="D102" s="268"/>
      <c r="E102" s="268"/>
      <c r="F102" s="268"/>
      <c r="G102" s="268"/>
      <c r="H102" s="268"/>
      <c r="I102" s="268"/>
      <c r="P102" s="267"/>
      <c r="Q102" s="268"/>
      <c r="R102" s="268"/>
      <c r="S102" s="268"/>
      <c r="T102" s="268"/>
      <c r="U102" s="268"/>
      <c r="V102" s="268"/>
    </row>
    <row r="103" spans="3:22">
      <c r="C103" s="25" t="s">
        <v>761</v>
      </c>
      <c r="D103" s="26"/>
      <c r="E103" s="26">
        <f>$D$120/10</f>
        <v>-181818.18181818182</v>
      </c>
      <c r="F103" s="26">
        <f>$D$120/10</f>
        <v>-181818.18181818182</v>
      </c>
      <c r="G103" s="26">
        <f>$D$120/10</f>
        <v>-181818.18181818182</v>
      </c>
      <c r="H103" s="26">
        <f>$D$120/10</f>
        <v>-181818.18181818182</v>
      </c>
      <c r="I103" s="26">
        <f>$D$120/10</f>
        <v>-181818.18181818182</v>
      </c>
      <c r="J103" s="1746"/>
      <c r="K103" s="1747"/>
      <c r="L103" s="1747"/>
      <c r="M103" s="1747"/>
      <c r="P103" s="25"/>
      <c r="Q103" s="26"/>
      <c r="R103" s="26"/>
      <c r="S103" s="26"/>
      <c r="T103" s="26"/>
      <c r="U103" s="26"/>
      <c r="V103" s="26"/>
    </row>
    <row r="104" spans="3:22">
      <c r="C104" s="25" t="s">
        <v>779</v>
      </c>
      <c r="D104" s="26"/>
      <c r="E104" s="26">
        <f>$D$121*0.6/10</f>
        <v>-60000</v>
      </c>
      <c r="F104" s="26">
        <f>$D$121*0.6/10</f>
        <v>-60000</v>
      </c>
      <c r="G104" s="26">
        <f>$D$121*0.6/10</f>
        <v>-60000</v>
      </c>
      <c r="H104" s="26">
        <f>$D$121*0.6/10</f>
        <v>-60000</v>
      </c>
      <c r="I104" s="26">
        <f>$D$121*0.6/10</f>
        <v>-60000</v>
      </c>
      <c r="P104" s="25"/>
      <c r="Q104" s="26"/>
      <c r="R104" s="26"/>
      <c r="S104" s="26"/>
      <c r="T104" s="26"/>
      <c r="U104" s="26"/>
      <c r="V104" s="26"/>
    </row>
    <row r="105" spans="3:22">
      <c r="C105" s="25" t="s">
        <v>780</v>
      </c>
      <c r="D105" s="26"/>
      <c r="E105" s="26">
        <f>$D$121*0.4/10</f>
        <v>-40000</v>
      </c>
      <c r="F105" s="26">
        <f>$D$121*0.4/10</f>
        <v>-40000</v>
      </c>
      <c r="G105" s="26">
        <f>$D$121*0.4/10</f>
        <v>-40000</v>
      </c>
      <c r="H105" s="26"/>
      <c r="I105" s="26"/>
      <c r="P105" s="25"/>
      <c r="Q105" s="26"/>
      <c r="R105" s="26"/>
      <c r="S105" s="26"/>
      <c r="T105" s="26"/>
      <c r="U105" s="26"/>
      <c r="V105" s="26"/>
    </row>
    <row r="106" spans="3:22">
      <c r="C106" s="25" t="s">
        <v>773</v>
      </c>
      <c r="D106" s="26"/>
      <c r="E106" s="26"/>
      <c r="F106" s="26"/>
      <c r="G106" s="26"/>
      <c r="H106" s="26">
        <f>$G$122/10</f>
        <v>-25000</v>
      </c>
      <c r="I106" s="26">
        <f>$G$122/10</f>
        <v>-25000</v>
      </c>
      <c r="P106" s="25"/>
      <c r="Q106" s="26"/>
      <c r="R106" s="26"/>
      <c r="S106" s="26"/>
      <c r="T106" s="26"/>
      <c r="U106" s="26"/>
      <c r="V106" s="26"/>
    </row>
    <row r="107" spans="3:22">
      <c r="C107" s="25" t="s">
        <v>787</v>
      </c>
      <c r="D107" s="26"/>
      <c r="E107" s="26">
        <f>$D$123/3</f>
        <v>-33333.333333333336</v>
      </c>
      <c r="F107" s="26">
        <f>$D$123/3</f>
        <v>-33333.333333333336</v>
      </c>
      <c r="G107" s="26">
        <f>$D$123/3</f>
        <v>-33333.333333333336</v>
      </c>
      <c r="H107" s="26"/>
      <c r="I107" s="118"/>
      <c r="P107" s="25"/>
      <c r="Q107" s="26"/>
      <c r="R107" s="26"/>
      <c r="S107" s="26"/>
      <c r="T107" s="26"/>
      <c r="U107" s="26"/>
      <c r="V107" s="26"/>
    </row>
    <row r="108" spans="3:22">
      <c r="C108" s="25" t="s">
        <v>768</v>
      </c>
      <c r="D108" s="26"/>
      <c r="E108" s="26"/>
      <c r="F108" s="26"/>
      <c r="G108" s="26"/>
      <c r="H108" s="26"/>
      <c r="I108" s="118">
        <f>E103*5</f>
        <v>-909090.90909090918</v>
      </c>
      <c r="P108" s="25"/>
      <c r="Q108" s="26"/>
      <c r="R108" s="26"/>
      <c r="S108" s="26"/>
      <c r="T108" s="26"/>
      <c r="U108" s="26"/>
      <c r="V108" s="26"/>
    </row>
    <row r="109" spans="3:22">
      <c r="C109" s="25" t="s">
        <v>334</v>
      </c>
      <c r="D109" s="26"/>
      <c r="E109" s="26"/>
      <c r="F109" s="26"/>
      <c r="G109" s="26"/>
      <c r="H109" s="211"/>
      <c r="I109" s="599">
        <f>E104*5</f>
        <v>-300000</v>
      </c>
      <c r="J109" t="s">
        <v>769</v>
      </c>
      <c r="P109" s="25"/>
      <c r="Q109" s="26"/>
      <c r="R109" s="26"/>
      <c r="S109" s="26"/>
      <c r="T109" s="26"/>
      <c r="U109" s="26"/>
      <c r="V109" s="26"/>
    </row>
    <row r="110" spans="3:22">
      <c r="C110" s="25" t="s">
        <v>575</v>
      </c>
      <c r="D110" s="26"/>
      <c r="E110" s="26"/>
      <c r="F110" s="26"/>
      <c r="G110" s="26"/>
      <c r="H110" s="26"/>
      <c r="I110" s="103">
        <f>H106*8</f>
        <v>-200000</v>
      </c>
      <c r="P110" s="25"/>
      <c r="Q110" s="26"/>
      <c r="R110" s="26"/>
      <c r="S110" s="26"/>
      <c r="T110" s="26"/>
      <c r="U110" s="26"/>
      <c r="V110" s="26"/>
    </row>
    <row r="111" spans="3:22">
      <c r="C111" s="25" t="s">
        <v>781</v>
      </c>
      <c r="D111" s="26"/>
      <c r="E111" s="26"/>
      <c r="F111" s="26"/>
      <c r="G111" s="26">
        <f>G105*(2+5)</f>
        <v>-280000</v>
      </c>
      <c r="H111" s="26"/>
      <c r="I111" s="103"/>
      <c r="P111" s="25"/>
      <c r="Q111" s="26"/>
      <c r="R111" s="26"/>
      <c r="S111" s="26"/>
      <c r="T111" s="26"/>
      <c r="U111" s="26"/>
      <c r="V111" s="26"/>
    </row>
    <row r="112" spans="3:22">
      <c r="C112" s="25" t="s">
        <v>786</v>
      </c>
      <c r="D112" s="26"/>
      <c r="E112" s="26"/>
      <c r="F112" s="26"/>
      <c r="G112" s="26">
        <v>0</v>
      </c>
      <c r="H112" s="26"/>
      <c r="I112" s="103"/>
      <c r="P112" s="25"/>
      <c r="Q112" s="26"/>
      <c r="R112" s="26"/>
      <c r="S112" s="26"/>
      <c r="T112" s="26"/>
      <c r="U112" s="26"/>
      <c r="V112" s="26"/>
    </row>
    <row r="113" spans="3:23" ht="14.25">
      <c r="C113" s="31" t="s">
        <v>130</v>
      </c>
      <c r="D113" s="32"/>
      <c r="E113" s="32">
        <f>SUM(E81:E109)</f>
        <v>9749747.8724520095</v>
      </c>
      <c r="F113" s="32">
        <f>SUM(F81:F109)</f>
        <v>10808155.426081073</v>
      </c>
      <c r="G113" s="32">
        <f>SUM(G81:G112)</f>
        <v>11203287.362971812</v>
      </c>
      <c r="H113" s="32">
        <f>SUM(H81:H109)</f>
        <v>11410561.818181818</v>
      </c>
      <c r="I113" s="32">
        <f>SUM(I81:I112)</f>
        <v>12444733.561983474</v>
      </c>
      <c r="K113" s="259" t="s">
        <v>782</v>
      </c>
      <c r="L113" s="259"/>
      <c r="M113" s="259"/>
      <c r="P113" s="31"/>
      <c r="Q113" s="32"/>
      <c r="R113" s="32"/>
      <c r="S113" s="32"/>
      <c r="T113" s="32"/>
      <c r="U113" s="32"/>
      <c r="V113" s="32"/>
    </row>
    <row r="114" spans="3:23">
      <c r="C114" s="33" t="s">
        <v>349</v>
      </c>
      <c r="D114" s="26"/>
      <c r="E114" s="26">
        <f>E113*0.35</f>
        <v>3412411.7553582033</v>
      </c>
      <c r="F114" s="26">
        <f>F113*0.35</f>
        <v>3782854.3991283751</v>
      </c>
      <c r="G114" s="26">
        <f>G113*0.35</f>
        <v>3921150.577040134</v>
      </c>
      <c r="H114" s="26">
        <f>H113*0.35</f>
        <v>3993696.6363636362</v>
      </c>
      <c r="I114" s="26">
        <f>I113*0.35</f>
        <v>4355656.7466942156</v>
      </c>
      <c r="K114" s="276">
        <f>G111+I109+G105+F105+E105+E104+F104+G104+H104+I104</f>
        <v>-1000000</v>
      </c>
      <c r="L114" s="259"/>
      <c r="M114" s="259"/>
      <c r="P114" s="33"/>
      <c r="Q114" s="26"/>
      <c r="R114" s="26"/>
      <c r="S114" s="26"/>
      <c r="T114" s="26"/>
      <c r="U114" s="26"/>
      <c r="V114" s="26"/>
    </row>
    <row r="115" spans="3:23" ht="28.5">
      <c r="C115" s="34" t="s">
        <v>132</v>
      </c>
      <c r="D115" s="35"/>
      <c r="E115" s="35">
        <f>E113-E114</f>
        <v>6337336.1170938062</v>
      </c>
      <c r="F115" s="35">
        <f>F113-F114</f>
        <v>7025301.026952697</v>
      </c>
      <c r="G115" s="35">
        <f>G113-G114</f>
        <v>7282136.7859316785</v>
      </c>
      <c r="H115" s="35">
        <f>H113-H114</f>
        <v>7416865.1818181816</v>
      </c>
      <c r="I115" s="35">
        <f>I113-I114</f>
        <v>8089076.815289258</v>
      </c>
      <c r="P115" s="34"/>
      <c r="Q115" s="35"/>
      <c r="R115" s="35"/>
      <c r="S115" s="35"/>
      <c r="T115" s="35"/>
      <c r="U115" s="35"/>
      <c r="V115" s="35"/>
    </row>
    <row r="116" spans="3:23">
      <c r="C116" s="33" t="s">
        <v>133</v>
      </c>
      <c r="D116" s="26"/>
      <c r="E116" s="26">
        <f>SUM(E103:E110)*-1</f>
        <v>315151.51515151514</v>
      </c>
      <c r="F116" s="26">
        <f>SUM(F103:F110)*-1</f>
        <v>315151.51515151514</v>
      </c>
      <c r="G116" s="26">
        <f>SUM(G103:G112)*-1</f>
        <v>595151.51515151514</v>
      </c>
      <c r="H116" s="26">
        <f t="shared" ref="H116:I116" si="0">SUM(H103:H112)*-1</f>
        <v>266818.18181818182</v>
      </c>
      <c r="I116" s="26">
        <f t="shared" si="0"/>
        <v>1675909.0909090911</v>
      </c>
      <c r="P116" s="33"/>
      <c r="Q116" s="26"/>
      <c r="R116" s="26"/>
      <c r="S116" s="26"/>
      <c r="T116" s="26"/>
      <c r="U116" s="26"/>
      <c r="V116" s="26"/>
    </row>
    <row r="117" spans="3:23" ht="26.25">
      <c r="C117" s="33" t="s">
        <v>712</v>
      </c>
      <c r="D117" s="1575">
        <v>-400320.83333333337</v>
      </c>
      <c r="E117" s="254">
        <v>-5718.8690476190277</v>
      </c>
      <c r="F117" s="1252"/>
      <c r="G117" s="254">
        <v>-1143.7738095238117</v>
      </c>
      <c r="H117" s="382"/>
      <c r="I117" s="26"/>
      <c r="P117" s="284"/>
      <c r="Q117" s="26"/>
      <c r="R117" s="26"/>
      <c r="S117" s="26"/>
      <c r="T117" s="26"/>
      <c r="U117" s="26"/>
    </row>
    <row r="118" spans="3:23">
      <c r="C118" s="25" t="s">
        <v>134</v>
      </c>
      <c r="D118" s="26"/>
      <c r="E118" s="26">
        <f>P67*-1</f>
        <v>-614603.32619280228</v>
      </c>
      <c r="F118" s="26">
        <f>P68*-1</f>
        <v>-678682.1298218657</v>
      </c>
      <c r="G118" s="26">
        <f>P69*-1</f>
        <v>-749441.81671260542</v>
      </c>
      <c r="H118" s="26"/>
      <c r="I118" s="26"/>
      <c r="L118">
        <v>-5635.4159226190286</v>
      </c>
      <c r="P118" s="25"/>
      <c r="R118" s="26"/>
      <c r="S118" s="26"/>
      <c r="T118" s="26"/>
      <c r="U118" s="26"/>
      <c r="V118" s="26"/>
    </row>
    <row r="119" spans="3:23">
      <c r="C119" s="25" t="s">
        <v>135</v>
      </c>
      <c r="D119" s="26">
        <f>(D120+D121+D123)*0.7*-1</f>
        <v>2042727.2727272727</v>
      </c>
      <c r="E119" s="26"/>
      <c r="F119" s="26"/>
      <c r="G119" s="26"/>
      <c r="H119" s="26"/>
      <c r="I119" s="26"/>
      <c r="L119">
        <v>12397.915029761889</v>
      </c>
      <c r="P119" s="286"/>
      <c r="R119" s="26"/>
      <c r="S119" s="26"/>
      <c r="T119" s="26"/>
      <c r="U119" s="26"/>
      <c r="V119" s="26"/>
    </row>
    <row r="120" spans="3:23">
      <c r="C120" s="25" t="s">
        <v>767</v>
      </c>
      <c r="D120" s="26">
        <f>-M15</f>
        <v>-1818181.8181818184</v>
      </c>
      <c r="E120" s="26"/>
      <c r="F120" s="26"/>
      <c r="G120" s="26"/>
      <c r="H120" s="118"/>
      <c r="I120" s="26"/>
      <c r="L120">
        <v>-1127.0831845238117</v>
      </c>
      <c r="P120" s="286"/>
      <c r="Q120" s="26"/>
      <c r="V120" s="26"/>
    </row>
    <row r="121" spans="3:23">
      <c r="C121" s="25" t="s">
        <v>778</v>
      </c>
      <c r="D121" s="26">
        <v>-1000000</v>
      </c>
      <c r="E121" s="26"/>
      <c r="F121" s="26"/>
      <c r="G121" s="211"/>
      <c r="H121" s="342"/>
      <c r="I121" s="633"/>
      <c r="L121">
        <v>3381.2495535714093</v>
      </c>
      <c r="P121" s="286"/>
      <c r="Q121" s="26"/>
      <c r="R121" s="26"/>
      <c r="S121" s="26"/>
      <c r="T121" s="26"/>
      <c r="U121" s="26"/>
      <c r="V121" s="26"/>
    </row>
    <row r="122" spans="3:23">
      <c r="C122" s="25" t="s">
        <v>772</v>
      </c>
      <c r="D122" s="26"/>
      <c r="E122" s="26"/>
      <c r="F122" s="26"/>
      <c r="G122" s="211">
        <v>-250000</v>
      </c>
      <c r="H122" s="342"/>
      <c r="I122" s="633"/>
      <c r="P122" s="286"/>
      <c r="Q122" s="26"/>
      <c r="R122" s="26"/>
      <c r="S122" s="26"/>
      <c r="T122" s="26"/>
      <c r="U122" s="26"/>
      <c r="V122" s="26"/>
    </row>
    <row r="123" spans="3:23">
      <c r="C123" s="25" t="s">
        <v>785</v>
      </c>
      <c r="D123" s="26">
        <v>-100000</v>
      </c>
      <c r="E123" s="26"/>
      <c r="F123" s="26"/>
      <c r="G123" s="211"/>
      <c r="H123" s="342"/>
      <c r="I123" s="633"/>
      <c r="P123" s="286"/>
      <c r="Q123" s="26"/>
      <c r="R123" s="26"/>
      <c r="S123" s="26"/>
      <c r="T123" s="26"/>
      <c r="U123" s="26"/>
      <c r="V123" s="26"/>
    </row>
    <row r="124" spans="3:23">
      <c r="C124" s="286" t="s">
        <v>412</v>
      </c>
      <c r="D124" s="26"/>
      <c r="E124" s="26"/>
      <c r="F124" s="26"/>
      <c r="G124" s="26"/>
      <c r="H124" s="103"/>
      <c r="I124" s="26">
        <f>(D117+E117+G117)*-1</f>
        <v>407183.47619047621</v>
      </c>
      <c r="P124" s="286"/>
      <c r="Q124" s="26"/>
      <c r="R124" s="26"/>
      <c r="S124" s="26"/>
      <c r="T124" s="26"/>
      <c r="U124" s="26"/>
      <c r="V124" s="26"/>
    </row>
    <row r="125" spans="3:23" ht="14.25">
      <c r="C125" s="37" t="s">
        <v>139</v>
      </c>
      <c r="D125" s="35">
        <f t="shared" ref="D125:I125" si="1">SUM(D115:D124)</f>
        <v>-1275775.3787878789</v>
      </c>
      <c r="E125" s="35">
        <f t="shared" si="1"/>
        <v>6032165.4370048996</v>
      </c>
      <c r="F125" s="35">
        <f t="shared" si="1"/>
        <v>6661770.4122823467</v>
      </c>
      <c r="G125" s="35">
        <f t="shared" si="1"/>
        <v>6876702.7105610641</v>
      </c>
      <c r="H125" s="35">
        <f t="shared" si="1"/>
        <v>7683683.3636363633</v>
      </c>
      <c r="I125" s="35">
        <f t="shared" si="1"/>
        <v>10172169.382388825</v>
      </c>
      <c r="J125" s="288">
        <f>NPV(K127,E125:I125)+D125</f>
        <v>24970592.139137499</v>
      </c>
      <c r="P125" s="37"/>
      <c r="Q125" s="35"/>
      <c r="R125" s="35"/>
      <c r="S125" s="35"/>
      <c r="T125" s="35"/>
      <c r="U125" s="35"/>
      <c r="V125" s="35"/>
      <c r="W125" s="297"/>
    </row>
    <row r="126" spans="3:23">
      <c r="C126" s="3"/>
      <c r="E126" s="5"/>
      <c r="F126" s="5"/>
      <c r="G126" s="5"/>
      <c r="H126" s="5"/>
      <c r="I126" s="5"/>
    </row>
    <row r="127" spans="3:23">
      <c r="J127" s="351" t="s">
        <v>140</v>
      </c>
      <c r="K127" s="208">
        <v>0.12</v>
      </c>
    </row>
    <row r="128" spans="3:23">
      <c r="E128" s="297"/>
      <c r="K128" s="274"/>
    </row>
    <row r="129" spans="3:17">
      <c r="C129" s="593"/>
      <c r="D129" s="380"/>
      <c r="E129" s="380"/>
      <c r="F129" s="380"/>
      <c r="G129" s="380"/>
      <c r="H129" s="380"/>
      <c r="I129" s="380"/>
    </row>
    <row r="130" spans="3:17" ht="12.75" customHeight="1">
      <c r="N130" s="369"/>
      <c r="O130" s="369"/>
      <c r="P130" s="369"/>
      <c r="Q130" s="369"/>
    </row>
    <row r="131" spans="3:17" ht="13.5" thickBot="1">
      <c r="N131" s="369"/>
      <c r="O131" s="369"/>
      <c r="P131" s="369"/>
      <c r="Q131" s="369"/>
    </row>
    <row r="132" spans="3:17" ht="15" thickBot="1">
      <c r="D132" s="1703" t="s">
        <v>576</v>
      </c>
      <c r="E132" s="1704"/>
      <c r="F132" s="1704"/>
      <c r="G132" s="1704"/>
      <c r="H132" s="1704"/>
      <c r="I132" s="1704"/>
      <c r="J132" s="1704"/>
      <c r="K132" s="1704"/>
      <c r="L132" s="1704"/>
      <c r="M132" s="1705"/>
      <c r="N132" s="384"/>
      <c r="O132" s="384"/>
      <c r="P132" s="369"/>
      <c r="Q132" s="369"/>
    </row>
    <row r="133" spans="3:17" ht="30">
      <c r="D133" s="401" t="s">
        <v>577</v>
      </c>
      <c r="E133" s="402" t="s">
        <v>578</v>
      </c>
      <c r="F133" s="403" t="s">
        <v>579</v>
      </c>
      <c r="G133" s="403" t="s">
        <v>102</v>
      </c>
      <c r="H133" s="403" t="s">
        <v>580</v>
      </c>
      <c r="I133" s="403" t="s">
        <v>581</v>
      </c>
      <c r="J133" s="403" t="s">
        <v>582</v>
      </c>
      <c r="K133" s="404" t="s">
        <v>583</v>
      </c>
      <c r="L133" s="405" t="s">
        <v>584</v>
      </c>
      <c r="M133" s="401" t="s">
        <v>585</v>
      </c>
      <c r="N133" s="384"/>
      <c r="O133" s="401" t="s">
        <v>586</v>
      </c>
      <c r="P133" s="369"/>
      <c r="Q133" s="369"/>
    </row>
    <row r="134" spans="3:17" ht="14.25">
      <c r="D134" s="406" t="s">
        <v>842</v>
      </c>
      <c r="E134" s="524">
        <v>35</v>
      </c>
      <c r="F134" s="408" t="s">
        <v>519</v>
      </c>
      <c r="G134" s="525"/>
      <c r="H134" s="525">
        <v>0</v>
      </c>
      <c r="I134" s="410">
        <v>1</v>
      </c>
      <c r="J134" s="411">
        <f>E134/I134</f>
        <v>35</v>
      </c>
      <c r="K134" s="408">
        <v>1</v>
      </c>
      <c r="L134" s="412">
        <f>K134*J134*(1+G134)</f>
        <v>35</v>
      </c>
      <c r="M134" s="1735">
        <f>SUM(L134:L138)</f>
        <v>65</v>
      </c>
      <c r="N134" s="1717" t="s">
        <v>588</v>
      </c>
      <c r="O134" s="1718">
        <f>SUM(M134,N138)</f>
        <v>265</v>
      </c>
    </row>
    <row r="135" spans="3:17" ht="14.25">
      <c r="D135" s="406" t="s">
        <v>804</v>
      </c>
      <c r="E135" s="524">
        <v>10</v>
      </c>
      <c r="F135" s="408" t="s">
        <v>519</v>
      </c>
      <c r="G135" s="525">
        <v>0</v>
      </c>
      <c r="H135" s="525"/>
      <c r="I135" s="410">
        <f>1-H135</f>
        <v>1</v>
      </c>
      <c r="J135" s="411">
        <f>E135/I135</f>
        <v>10</v>
      </c>
      <c r="K135" s="410">
        <v>1</v>
      </c>
      <c r="L135" s="412">
        <f>K135*E135*(1+G135)</f>
        <v>10</v>
      </c>
      <c r="M135" s="1736"/>
      <c r="N135" s="1717"/>
      <c r="O135" s="1718"/>
    </row>
    <row r="136" spans="3:17" ht="14.25">
      <c r="D136" s="406" t="s">
        <v>181</v>
      </c>
      <c r="E136" s="524">
        <v>15</v>
      </c>
      <c r="F136" s="408" t="s">
        <v>591</v>
      </c>
      <c r="G136" s="525"/>
      <c r="H136" s="525"/>
      <c r="I136" s="410">
        <f>1-H136</f>
        <v>1</v>
      </c>
      <c r="J136" s="411">
        <f>E136/I136</f>
        <v>15</v>
      </c>
      <c r="K136" s="408">
        <v>1</v>
      </c>
      <c r="L136" s="412">
        <f>K136*E136*(1+G136)</f>
        <v>15</v>
      </c>
      <c r="M136" s="1736"/>
      <c r="N136" s="1717"/>
      <c r="O136" s="1718"/>
    </row>
    <row r="137" spans="3:17" ht="14.25">
      <c r="D137" s="406" t="s">
        <v>843</v>
      </c>
      <c r="E137" s="524">
        <v>5</v>
      </c>
      <c r="F137" s="408" t="s">
        <v>591</v>
      </c>
      <c r="G137" s="525"/>
      <c r="H137" s="525"/>
      <c r="I137" s="410">
        <f>1-H137</f>
        <v>1</v>
      </c>
      <c r="J137" s="411">
        <f>E137/I137</f>
        <v>5</v>
      </c>
      <c r="K137" s="408">
        <v>1</v>
      </c>
      <c r="L137" s="412">
        <f>K137*E137*(1+G137)</f>
        <v>5</v>
      </c>
      <c r="M137" s="1736"/>
      <c r="N137" s="1717"/>
      <c r="O137" s="1718"/>
    </row>
    <row r="138" spans="3:17" ht="15.75" thickBot="1">
      <c r="D138" s="414"/>
      <c r="E138" s="530"/>
      <c r="F138" s="416"/>
      <c r="G138" s="531"/>
      <c r="H138" s="531"/>
      <c r="I138" s="410">
        <f>1-H138</f>
        <v>1</v>
      </c>
      <c r="J138" s="411">
        <f>E138/I138</f>
        <v>0</v>
      </c>
      <c r="K138" s="416">
        <v>1</v>
      </c>
      <c r="L138" s="412">
        <f>K138*E138*(1+G138)</f>
        <v>0</v>
      </c>
      <c r="M138" s="1737"/>
      <c r="N138" s="532">
        <v>200</v>
      </c>
      <c r="O138" s="1718"/>
    </row>
    <row r="139" spans="3:17" ht="14.25">
      <c r="D139" s="384"/>
      <c r="E139" s="419" t="s">
        <v>595</v>
      </c>
      <c r="F139" s="384"/>
      <c r="G139" s="1719" t="s">
        <v>596</v>
      </c>
      <c r="H139" s="1720"/>
      <c r="K139" s="419" t="s">
        <v>595</v>
      </c>
      <c r="L139" s="384"/>
      <c r="M139" s="384"/>
      <c r="N139" s="419" t="s">
        <v>597</v>
      </c>
      <c r="O139" s="384"/>
      <c r="P139" s="369"/>
      <c r="Q139" s="369"/>
    </row>
    <row r="140" spans="3:17">
      <c r="N140" s="369"/>
      <c r="O140" s="369"/>
      <c r="P140" s="369"/>
      <c r="Q140" s="369"/>
    </row>
    <row r="141" spans="3:17">
      <c r="G141" s="258"/>
      <c r="N141" s="369"/>
      <c r="O141" s="369"/>
      <c r="P141" s="369"/>
      <c r="Q141" s="369"/>
    </row>
    <row r="142" spans="3:17" ht="14.25">
      <c r="G142" s="594"/>
      <c r="N142" s="369"/>
      <c r="O142" s="369"/>
      <c r="P142" s="369"/>
      <c r="Q142" s="369"/>
    </row>
    <row r="143" spans="3:17">
      <c r="I143" s="592"/>
      <c r="N143" s="369"/>
      <c r="O143" s="369"/>
      <c r="P143" s="369"/>
      <c r="Q143" s="369"/>
    </row>
    <row r="144" spans="3:17">
      <c r="H144" s="208"/>
      <c r="I144" s="595"/>
    </row>
    <row r="145" spans="2:15">
      <c r="H145" s="208"/>
    </row>
    <row r="146" spans="2:15" ht="20.25">
      <c r="G146" s="662" t="s">
        <v>852</v>
      </c>
      <c r="H146" s="662"/>
      <c r="I146" s="662"/>
      <c r="J146" s="259"/>
      <c r="K146" s="259"/>
      <c r="M146" t="s">
        <v>448</v>
      </c>
      <c r="N146" s="304">
        <v>150000</v>
      </c>
      <c r="O146" s="352"/>
    </row>
    <row r="147" spans="2:15" ht="20.25">
      <c r="B147" s="742"/>
      <c r="C147" s="743"/>
      <c r="G147" s="662" t="s">
        <v>853</v>
      </c>
      <c r="H147" s="662"/>
      <c r="I147" s="662"/>
      <c r="J147" s="259"/>
      <c r="K147" s="259"/>
      <c r="M147" t="s">
        <v>448</v>
      </c>
      <c r="N147" s="305">
        <v>160000</v>
      </c>
      <c r="O147" s="353"/>
    </row>
    <row r="148" spans="2:15" ht="20.25">
      <c r="B148" s="744"/>
      <c r="C148" s="745"/>
      <c r="G148" s="662" t="s">
        <v>854</v>
      </c>
      <c r="H148" s="662"/>
      <c r="I148" s="662"/>
      <c r="J148" s="259"/>
      <c r="K148" s="259"/>
      <c r="M148" t="s">
        <v>449</v>
      </c>
    </row>
    <row r="149" spans="2:15" ht="20.25">
      <c r="B149" s="746"/>
      <c r="C149" s="747"/>
      <c r="G149" s="855" t="s">
        <v>857</v>
      </c>
      <c r="H149" s="662"/>
      <c r="I149" s="662"/>
      <c r="J149" s="259"/>
      <c r="K149" s="259"/>
    </row>
    <row r="150" spans="2:15" ht="20.25">
      <c r="B150" s="746"/>
      <c r="C150" s="748"/>
      <c r="D150" s="4"/>
      <c r="G150" s="662"/>
      <c r="H150" s="662"/>
      <c r="I150" s="662"/>
      <c r="J150" s="259"/>
      <c r="K150" s="259"/>
    </row>
    <row r="151" spans="2:15" ht="20.25">
      <c r="B151" s="4"/>
      <c r="C151" s="119"/>
      <c r="G151" s="662"/>
      <c r="H151" s="662"/>
      <c r="I151" s="662"/>
      <c r="J151" s="259"/>
      <c r="K151" s="259"/>
    </row>
    <row r="152" spans="2:15" ht="20.25">
      <c r="B152" s="4"/>
      <c r="C152" s="749"/>
      <c r="D152" s="4"/>
      <c r="G152" s="662"/>
      <c r="H152" s="662"/>
      <c r="I152" s="662"/>
      <c r="J152" s="259"/>
      <c r="K152" s="259"/>
    </row>
    <row r="153" spans="2:15" ht="20.25">
      <c r="B153" s="4"/>
      <c r="C153" s="749"/>
      <c r="D153" s="4"/>
      <c r="G153" s="662"/>
      <c r="H153" s="662"/>
      <c r="I153" s="662"/>
      <c r="J153" s="259"/>
      <c r="K153" s="259"/>
    </row>
    <row r="154" spans="2:15">
      <c r="B154" s="4"/>
      <c r="C154" s="749"/>
      <c r="D154" s="4"/>
    </row>
    <row r="155" spans="2:15">
      <c r="B155" s="4"/>
      <c r="C155" s="749"/>
      <c r="D155" s="4"/>
      <c r="E155" s="4"/>
      <c r="F155" s="4"/>
    </row>
    <row r="156" spans="2:15">
      <c r="B156" s="4"/>
      <c r="C156" s="749"/>
      <c r="D156" s="4"/>
      <c r="E156" s="4"/>
      <c r="F156" s="4"/>
    </row>
    <row r="158" spans="2:15" ht="15.75">
      <c r="B158" s="570"/>
      <c r="C158" s="571"/>
      <c r="L158" s="579"/>
    </row>
    <row r="159" spans="2:15" ht="14.25">
      <c r="B159" s="570"/>
      <c r="C159" s="750"/>
    </row>
    <row r="160" spans="2:15" ht="14.25">
      <c r="B160" s="570"/>
      <c r="C160" s="572"/>
      <c r="N160" s="580">
        <f>L173</f>
        <v>13000000</v>
      </c>
      <c r="O160" s="208">
        <v>1</v>
      </c>
    </row>
    <row r="161" spans="2:16" ht="14.25">
      <c r="B161" s="570"/>
      <c r="C161" s="572"/>
      <c r="N161" s="580">
        <f>L170</f>
        <v>2000000</v>
      </c>
      <c r="O161" s="581">
        <f>(N161*O160)/N160</f>
        <v>0.15384615384615385</v>
      </c>
    </row>
    <row r="163" spans="2:16">
      <c r="N163" s="580">
        <f>N160</f>
        <v>13000000</v>
      </c>
      <c r="O163" s="208">
        <v>1</v>
      </c>
    </row>
    <row r="164" spans="2:16" ht="14.25">
      <c r="B164" s="570"/>
      <c r="C164" s="574"/>
      <c r="D164" s="574"/>
      <c r="E164" s="574"/>
      <c r="F164" s="574"/>
      <c r="G164" s="574"/>
      <c r="H164" s="574"/>
      <c r="N164" s="582">
        <v>6000000</v>
      </c>
      <c r="O164" s="583">
        <f>(N164*O163)/N163</f>
        <v>0.46153846153846156</v>
      </c>
    </row>
    <row r="165" spans="2:16">
      <c r="C165" s="303"/>
      <c r="D165" s="303"/>
      <c r="E165" s="303"/>
      <c r="F165" s="303"/>
      <c r="G165" s="303"/>
      <c r="H165" s="303"/>
    </row>
    <row r="166" spans="2:16">
      <c r="C166" s="303"/>
      <c r="D166" s="303"/>
      <c r="E166" s="303"/>
      <c r="F166" s="303"/>
      <c r="G166" s="303"/>
      <c r="H166" s="303"/>
      <c r="L166" t="s">
        <v>751</v>
      </c>
      <c r="N166" s="580">
        <f>N160</f>
        <v>13000000</v>
      </c>
      <c r="O166" s="208">
        <v>1</v>
      </c>
    </row>
    <row r="167" spans="2:16" ht="14.25">
      <c r="C167" s="575"/>
      <c r="D167" s="576"/>
      <c r="E167" s="574"/>
      <c r="F167" s="584"/>
      <c r="G167" s="576"/>
      <c r="H167" s="576"/>
      <c r="N167" s="582">
        <v>5000000</v>
      </c>
      <c r="O167" s="585">
        <f>(N167*O166)/N166</f>
        <v>0.38461538461538464</v>
      </c>
    </row>
    <row r="169" spans="2:16" ht="14.25">
      <c r="L169" s="570" t="s">
        <v>752</v>
      </c>
      <c r="N169" s="491"/>
    </row>
    <row r="170" spans="2:16" ht="14.25">
      <c r="B170" s="570"/>
      <c r="C170" s="578"/>
      <c r="L170" s="582">
        <v>2000000</v>
      </c>
      <c r="N170" s="468">
        <v>0.18</v>
      </c>
      <c r="O170" s="586">
        <f>L170/$L$173</f>
        <v>0.15384615384615385</v>
      </c>
      <c r="P170" s="578">
        <f>N170*O170</f>
        <v>2.7692307692307693E-2</v>
      </c>
    </row>
    <row r="171" spans="2:16" ht="14.25">
      <c r="L171" s="582">
        <v>6000000</v>
      </c>
      <c r="N171" s="468">
        <v>0.35</v>
      </c>
      <c r="O171" s="587">
        <f>L171/$L$173</f>
        <v>0.46153846153846156</v>
      </c>
      <c r="P171" s="578">
        <f>N171*O171</f>
        <v>0.16153846153846155</v>
      </c>
    </row>
    <row r="172" spans="2:16" ht="14.25">
      <c r="L172" s="588">
        <v>5000000</v>
      </c>
      <c r="N172" s="589">
        <v>0.3</v>
      </c>
      <c r="O172" s="590">
        <f>L172/$L$173</f>
        <v>0.38461538461538464</v>
      </c>
      <c r="P172" s="578">
        <f>N172*O172</f>
        <v>0.11538461538461539</v>
      </c>
    </row>
    <row r="173" spans="2:16" ht="15">
      <c r="L173" s="582">
        <f>SUM(L170:L172)</f>
        <v>13000000</v>
      </c>
      <c r="N173" s="491"/>
      <c r="P173" s="591">
        <f>SUM(P170:P172)</f>
        <v>0.30461538461538462</v>
      </c>
    </row>
    <row r="174" spans="2:16" ht="14.25">
      <c r="N174" s="491"/>
    </row>
  </sheetData>
  <mergeCells count="21">
    <mergeCell ref="M45:O45"/>
    <mergeCell ref="M48:O48"/>
    <mergeCell ref="M51:N51"/>
    <mergeCell ref="G53:K53"/>
    <mergeCell ref="A2:B12"/>
    <mergeCell ref="M30:N30"/>
    <mergeCell ref="O35:S35"/>
    <mergeCell ref="M41:O41"/>
    <mergeCell ref="M42:O42"/>
    <mergeCell ref="V55:Y55"/>
    <mergeCell ref="M56:N56"/>
    <mergeCell ref="G139:H139"/>
    <mergeCell ref="M64:Q64"/>
    <mergeCell ref="M72:Q72"/>
    <mergeCell ref="J103:M103"/>
    <mergeCell ref="D132:M132"/>
    <mergeCell ref="M134:M138"/>
    <mergeCell ref="N134:N137"/>
    <mergeCell ref="O134:O138"/>
    <mergeCell ref="J61:K61"/>
    <mergeCell ref="J87:N87"/>
  </mergeCells>
  <conditionalFormatting sqref="G52:K52">
    <cfRule type="containsText" dxfId="26" priority="1" operator="containsText" text="999">
      <formula>NOT(ISERROR(SEARCH(("999"),(G52))))</formula>
    </cfRule>
  </conditionalFormatting>
  <pageMargins left="0.7" right="0.7" top="0.75" bottom="0.75" header="0.3" footer="0.3"/>
  <pageSetup orientation="portrait"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162B-8D0A-494B-AAAD-8935E0C51808}">
  <dimension ref="A2:Y174"/>
  <sheetViews>
    <sheetView topLeftCell="A51" workbookViewId="0">
      <selection activeCell="G86" sqref="G86"/>
    </sheetView>
  </sheetViews>
  <sheetFormatPr defaultRowHeight="12.75"/>
  <cols>
    <col min="3" max="3" width="35.42578125" bestFit="1" customWidth="1"/>
    <col min="4" max="4" width="37.28515625" bestFit="1" customWidth="1"/>
    <col min="5" max="5" width="16" bestFit="1" customWidth="1"/>
    <col min="6" max="6" width="17" bestFit="1" customWidth="1"/>
    <col min="7" max="7" width="30.140625" customWidth="1"/>
    <col min="8" max="8" width="18.5703125" customWidth="1"/>
    <col min="9" max="9" width="17.7109375" bestFit="1" customWidth="1"/>
    <col min="10" max="10" width="17.5703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5.140625" bestFit="1" customWidth="1"/>
    <col min="18" max="19" width="12.28515625" bestFit="1" customWidth="1"/>
    <col min="20" max="20" width="12" customWidth="1"/>
    <col min="21" max="21" width="13.42578125" bestFit="1" customWidth="1"/>
    <col min="22" max="22" width="12.85546875" bestFit="1" customWidth="1"/>
    <col min="23" max="23" width="13.42578125" bestFit="1" customWidth="1"/>
    <col min="24" max="24" width="12.42578125"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v>2000000</v>
      </c>
      <c r="N13" s="597" t="s">
        <v>506</v>
      </c>
      <c r="O13" s="351"/>
    </row>
    <row r="14" spans="1:15">
      <c r="M14" s="596">
        <f>M13/1.21</f>
        <v>1652892.561983471</v>
      </c>
      <c r="N14" s="597" t="s">
        <v>507</v>
      </c>
      <c r="O14" s="351"/>
    </row>
    <row r="15" spans="1:15">
      <c r="M15" s="596">
        <f>M14*1.1</f>
        <v>1818181.8181818184</v>
      </c>
      <c r="N15" s="597" t="s">
        <v>764</v>
      </c>
      <c r="O15" s="351"/>
    </row>
    <row r="16" spans="1:15">
      <c r="M16" s="598">
        <f>-(M14) *0.05</f>
        <v>-82644.628099173555</v>
      </c>
      <c r="N16" s="597" t="s">
        <v>765</v>
      </c>
    </row>
    <row r="19" spans="13:23" ht="13.5" thickBot="1"/>
    <row r="20" spans="13:23">
      <c r="M20" s="356"/>
      <c r="N20" s="357"/>
      <c r="O20" s="357"/>
      <c r="P20" s="357"/>
      <c r="Q20" s="357"/>
      <c r="R20" s="215"/>
    </row>
    <row r="21" spans="13:23">
      <c r="M21" s="218"/>
      <c r="N21" s="351"/>
      <c r="O21" s="351"/>
      <c r="P21" s="351"/>
      <c r="R21" s="358"/>
    </row>
    <row r="22" spans="13:23">
      <c r="M22" s="359"/>
      <c r="O22" s="351"/>
      <c r="P22" s="208"/>
      <c r="R22" s="360"/>
    </row>
    <row r="23" spans="13:23">
      <c r="M23" s="359"/>
      <c r="O23" s="351"/>
      <c r="P23" s="208"/>
      <c r="R23" s="217"/>
    </row>
    <row r="24" spans="13:23">
      <c r="M24" s="359"/>
      <c r="N24" s="351"/>
      <c r="O24" s="351"/>
      <c r="P24" s="208"/>
      <c r="R24" s="217"/>
    </row>
    <row r="25" spans="13:23">
      <c r="M25" s="359"/>
      <c r="N25" s="351"/>
      <c r="O25" s="351"/>
      <c r="P25" s="208"/>
      <c r="R25" s="217"/>
    </row>
    <row r="26" spans="13:23">
      <c r="M26" s="359"/>
      <c r="P26" s="208"/>
      <c r="R26" s="217"/>
    </row>
    <row r="27" spans="13:23">
      <c r="M27" s="359"/>
      <c r="P27" s="208"/>
      <c r="R27" s="217"/>
    </row>
    <row r="28" spans="13:23">
      <c r="M28" s="359"/>
      <c r="R28" s="217"/>
    </row>
    <row r="29" spans="13:23" ht="13.5" thickBot="1">
      <c r="M29" s="361"/>
      <c r="N29" s="362"/>
      <c r="O29" s="362"/>
      <c r="P29" s="362"/>
      <c r="Q29" s="362"/>
      <c r="R29" s="363"/>
    </row>
    <row r="30" spans="13:23">
      <c r="M30" s="1752"/>
      <c r="N30" s="1753"/>
      <c r="Q30" s="351"/>
      <c r="R30" s="217"/>
      <c r="S30" s="381"/>
      <c r="T30" s="382"/>
      <c r="U30" s="382"/>
      <c r="V30" s="382"/>
      <c r="W30" s="382"/>
    </row>
    <row r="31" spans="13:23">
      <c r="M31" s="354"/>
      <c r="N31" s="354"/>
      <c r="Q31" s="351"/>
      <c r="R31" s="261"/>
    </row>
    <row r="32" spans="13:23">
      <c r="M32" s="355"/>
      <c r="N32" s="355"/>
      <c r="Q32" s="351"/>
      <c r="R32" s="365"/>
      <c r="S32" s="254"/>
      <c r="T32" s="351"/>
    </row>
    <row r="34" spans="13:23">
      <c r="M34" s="351"/>
    </row>
    <row r="35" spans="13:23">
      <c r="O35" s="1751"/>
      <c r="P35" s="1613"/>
      <c r="Q35" s="1613"/>
      <c r="R35" s="1613"/>
      <c r="S35" s="1614"/>
    </row>
    <row r="36" spans="13:23">
      <c r="O36" s="354"/>
      <c r="P36" s="354"/>
      <c r="Q36" s="354"/>
      <c r="R36" s="354"/>
      <c r="S36" s="354"/>
    </row>
    <row r="37" spans="13:23">
      <c r="O37" s="355"/>
      <c r="P37" s="355"/>
      <c r="Q37" s="355"/>
      <c r="R37" s="355"/>
      <c r="S37" s="355"/>
    </row>
    <row r="41" spans="13:23">
      <c r="M41" s="1751"/>
      <c r="N41" s="1754"/>
      <c r="O41" s="1754"/>
      <c r="P41" s="300"/>
      <c r="Q41" s="300"/>
      <c r="R41" s="300"/>
      <c r="S41" s="300"/>
      <c r="T41" s="300"/>
      <c r="U41" s="301"/>
    </row>
    <row r="42" spans="13:23">
      <c r="M42" s="1751"/>
      <c r="N42" s="1613"/>
      <c r="O42" s="1614"/>
    </row>
    <row r="43" spans="13:23">
      <c r="M43" s="354"/>
      <c r="N43" s="354"/>
      <c r="O43" s="354"/>
    </row>
    <row r="44" spans="13:23">
      <c r="M44" s="367"/>
      <c r="N44" s="355"/>
      <c r="O44" s="355"/>
    </row>
    <row r="45" spans="13:23">
      <c r="M45" s="1751"/>
      <c r="N45" s="1613"/>
      <c r="O45" s="1614"/>
    </row>
    <row r="46" spans="13:23" ht="14.25">
      <c r="M46" s="354"/>
      <c r="N46" s="354"/>
      <c r="O46" s="354"/>
      <c r="U46" s="4"/>
      <c r="V46" s="547"/>
      <c r="W46" s="548"/>
    </row>
    <row r="47" spans="13:23">
      <c r="M47" s="367"/>
      <c r="N47" s="355"/>
      <c r="O47" s="355"/>
      <c r="U47" s="4"/>
      <c r="V47" s="4"/>
    </row>
    <row r="48" spans="13:23">
      <c r="M48" s="1751"/>
      <c r="N48" s="1613"/>
      <c r="O48" s="1614"/>
      <c r="U48" s="4"/>
      <c r="V48" s="3"/>
    </row>
    <row r="49" spans="4:25">
      <c r="M49" s="354"/>
      <c r="N49" s="354"/>
      <c r="O49" s="354"/>
      <c r="U49" s="4"/>
      <c r="V49" s="4"/>
    </row>
    <row r="50" spans="4:25">
      <c r="M50" s="367"/>
      <c r="N50" s="355"/>
      <c r="O50" s="355"/>
      <c r="U50" s="4"/>
      <c r="V50" s="4"/>
    </row>
    <row r="51" spans="4:25">
      <c r="M51" s="1751"/>
      <c r="N51" s="1614"/>
      <c r="U51" s="4"/>
      <c r="V51" s="4"/>
    </row>
    <row r="52" spans="4:25" ht="13.5" thickBot="1">
      <c r="G52" s="600" t="s">
        <v>788</v>
      </c>
      <c r="H52" s="600"/>
      <c r="I52" s="600"/>
      <c r="J52" s="600"/>
      <c r="K52" s="600"/>
      <c r="M52" s="354"/>
      <c r="N52" s="354"/>
      <c r="U52" s="4"/>
      <c r="V52" s="549"/>
    </row>
    <row r="53" spans="4:25" ht="15.75" thickBot="1">
      <c r="G53" s="1775" t="s">
        <v>789</v>
      </c>
      <c r="H53" s="1776"/>
      <c r="I53" s="1776"/>
      <c r="J53" s="1776"/>
      <c r="K53" s="1777"/>
      <c r="M53" s="355"/>
      <c r="N53" s="355"/>
      <c r="O53" s="366"/>
      <c r="P53" s="364"/>
    </row>
    <row r="54" spans="4:25" ht="15.75" thickBot="1">
      <c r="G54" s="601" t="s">
        <v>105</v>
      </c>
      <c r="H54" s="602" t="s">
        <v>220</v>
      </c>
      <c r="I54" s="603" t="s">
        <v>790</v>
      </c>
      <c r="J54" s="603" t="s">
        <v>791</v>
      </c>
      <c r="K54" s="604" t="s">
        <v>792</v>
      </c>
    </row>
    <row r="55" spans="4:25" ht="15">
      <c r="G55" s="605" t="s">
        <v>451</v>
      </c>
      <c r="H55" s="606">
        <v>150</v>
      </c>
      <c r="I55" s="607">
        <v>4500000</v>
      </c>
      <c r="J55" s="608">
        <v>800000</v>
      </c>
      <c r="K55" s="609">
        <f>I55*K62+J55*K63</f>
        <v>175000</v>
      </c>
      <c r="U55" s="550"/>
      <c r="V55" s="1748"/>
      <c r="W55" s="1749"/>
      <c r="X55" s="1749"/>
      <c r="Y55" s="1750"/>
    </row>
    <row r="56" spans="4:25" ht="15">
      <c r="G56" s="610" t="s">
        <v>632</v>
      </c>
      <c r="H56" s="611">
        <v>155</v>
      </c>
      <c r="I56" s="612">
        <v>4600000</v>
      </c>
      <c r="J56" s="613">
        <v>800000</v>
      </c>
      <c r="K56" s="614">
        <f>I56*K62+J56*K63+(H56-H55)*K64</f>
        <v>177500</v>
      </c>
      <c r="M56" s="1635" t="s">
        <v>547</v>
      </c>
      <c r="N56" s="1635"/>
      <c r="U56" s="551"/>
      <c r="V56" s="552"/>
      <c r="W56" s="552"/>
      <c r="X56" s="552"/>
      <c r="Y56" s="553"/>
    </row>
    <row r="57" spans="4:25" ht="15">
      <c r="G57" s="610" t="s">
        <v>793</v>
      </c>
      <c r="H57" s="611">
        <v>160</v>
      </c>
      <c r="I57" s="612">
        <v>4750000</v>
      </c>
      <c r="J57" s="613">
        <v>600000</v>
      </c>
      <c r="K57" s="614">
        <f>I57*K62+J57*K63+(H57-H56)*K64</f>
        <v>172000</v>
      </c>
      <c r="N57" s="259" t="s">
        <v>0</v>
      </c>
      <c r="U57" s="554"/>
      <c r="V57" s="555"/>
      <c r="W57" s="556"/>
      <c r="X57" s="555"/>
      <c r="Y57" s="557"/>
    </row>
    <row r="58" spans="4:25" ht="15">
      <c r="G58" s="610" t="s">
        <v>794</v>
      </c>
      <c r="H58" s="611">
        <v>160</v>
      </c>
      <c r="I58" s="612">
        <v>4750000</v>
      </c>
      <c r="J58" s="613">
        <v>600000</v>
      </c>
      <c r="K58" s="614">
        <f>I58*K62+J58*K63+(H58-H57)*K64</f>
        <v>172500</v>
      </c>
      <c r="M58" s="21"/>
      <c r="N58" s="260">
        <v>0.1</v>
      </c>
      <c r="O58" s="261" t="s">
        <v>3</v>
      </c>
      <c r="P58" s="261" t="s">
        <v>3</v>
      </c>
      <c r="U58" s="554"/>
      <c r="V58" s="558"/>
      <c r="W58" s="556"/>
      <c r="X58" s="555"/>
      <c r="Y58" s="557"/>
    </row>
    <row r="59" spans="4:25" ht="15.75" thickBot="1">
      <c r="G59" s="615" t="s">
        <v>795</v>
      </c>
      <c r="H59" s="616">
        <v>170</v>
      </c>
      <c r="I59" s="617">
        <v>4900000</v>
      </c>
      <c r="J59" s="618">
        <v>500000</v>
      </c>
      <c r="K59" s="619">
        <f>I59*K62+J59*K63+(H59-H58)*K64</f>
        <v>171000</v>
      </c>
      <c r="M59" s="21"/>
      <c r="N59" s="23" t="s">
        <v>3</v>
      </c>
      <c r="O59" s="261">
        <f>(1+N58/6)^6</f>
        <v>1.1042604244041494</v>
      </c>
      <c r="P59" s="266">
        <f>O59-1</f>
        <v>0.1042604244041494</v>
      </c>
      <c r="U59" s="559"/>
      <c r="V59" s="560"/>
      <c r="W59" s="556"/>
      <c r="X59" s="561"/>
      <c r="Y59" s="557"/>
    </row>
    <row r="60" spans="4:25" ht="13.5" thickBot="1">
      <c r="M60" s="21"/>
      <c r="N60" s="23"/>
    </row>
    <row r="61" spans="4:25" ht="15">
      <c r="G61" s="620" t="s">
        <v>796</v>
      </c>
      <c r="J61" s="1771" t="s">
        <v>797</v>
      </c>
      <c r="K61" s="1772"/>
      <c r="M61" s="21"/>
      <c r="N61" s="39"/>
    </row>
    <row r="62" spans="4:25" ht="14.25">
      <c r="J62" s="621" t="s">
        <v>798</v>
      </c>
      <c r="K62" s="622">
        <v>0.03</v>
      </c>
      <c r="M62" s="21"/>
      <c r="N62" s="23"/>
    </row>
    <row r="63" spans="4:25" ht="14.25">
      <c r="D63" s="382" t="s">
        <v>812</v>
      </c>
      <c r="E63" s="382"/>
      <c r="F63" s="382"/>
      <c r="G63" s="382"/>
      <c r="H63" s="351" t="s">
        <v>850</v>
      </c>
      <c r="J63" s="621" t="s">
        <v>799</v>
      </c>
      <c r="K63" s="622">
        <v>0.05</v>
      </c>
    </row>
    <row r="64" spans="4:25" ht="39" thickBot="1">
      <c r="D64" s="382" t="s">
        <v>813</v>
      </c>
      <c r="E64" s="382"/>
      <c r="F64" s="382"/>
      <c r="G64" s="382"/>
      <c r="H64" s="667" t="s">
        <v>846</v>
      </c>
      <c r="J64" s="623" t="s">
        <v>800</v>
      </c>
      <c r="K64" s="624">
        <v>-100</v>
      </c>
      <c r="M64" s="1615" t="s">
        <v>103</v>
      </c>
      <c r="N64" s="1613"/>
      <c r="O64" s="1613"/>
      <c r="P64" s="1613"/>
      <c r="Q64" s="1614"/>
      <c r="S64" s="351"/>
    </row>
    <row r="65" spans="3:22">
      <c r="D65" s="382" t="s">
        <v>814</v>
      </c>
      <c r="E65" s="382"/>
      <c r="F65" s="382"/>
      <c r="G65" s="382"/>
      <c r="H65" s="351" t="s">
        <v>848</v>
      </c>
      <c r="M65" s="24" t="s">
        <v>105</v>
      </c>
      <c r="N65" s="24" t="s">
        <v>106</v>
      </c>
      <c r="O65" s="24" t="s">
        <v>102</v>
      </c>
      <c r="P65" s="24" t="s">
        <v>134</v>
      </c>
      <c r="Q65" s="24" t="s">
        <v>107</v>
      </c>
    </row>
    <row r="66" spans="3:22">
      <c r="D66" s="382" t="s">
        <v>815</v>
      </c>
      <c r="E66" s="382"/>
      <c r="F66" s="382"/>
      <c r="G66" s="382"/>
      <c r="H66" s="351" t="s">
        <v>849</v>
      </c>
      <c r="M66" s="25"/>
      <c r="N66" s="26"/>
      <c r="O66" s="26"/>
      <c r="P66" s="26"/>
      <c r="Q66" s="26">
        <f>D119</f>
        <v>0</v>
      </c>
    </row>
    <row r="67" spans="3:22">
      <c r="D67" s="382" t="s">
        <v>816</v>
      </c>
      <c r="E67" s="382"/>
      <c r="F67" s="382"/>
      <c r="G67" s="382"/>
      <c r="M67" s="25">
        <v>1</v>
      </c>
      <c r="N67" s="26">
        <f>P59*Q66/(1-(1+P59)^-3)</f>
        <v>0</v>
      </c>
      <c r="O67" s="26">
        <f>Q66*P59</f>
        <v>0</v>
      </c>
      <c r="P67" s="26">
        <f>N67-O67</f>
        <v>0</v>
      </c>
      <c r="Q67" s="26">
        <f>Q66-P67</f>
        <v>0</v>
      </c>
    </row>
    <row r="68" spans="3:22">
      <c r="M68" s="25">
        <v>2</v>
      </c>
      <c r="N68" s="26">
        <f>P59*Q66/(1-(1+P59)^-3)</f>
        <v>0</v>
      </c>
      <c r="O68" s="26">
        <f>Q67*P59</f>
        <v>0</v>
      </c>
      <c r="P68" s="26">
        <f>N68-O68</f>
        <v>0</v>
      </c>
      <c r="Q68" s="26">
        <f>Q67-P68</f>
        <v>0</v>
      </c>
    </row>
    <row r="69" spans="3:22">
      <c r="M69" s="25">
        <v>3</v>
      </c>
      <c r="N69" s="26">
        <f>P59*Q66/(1-(1+P59)^-3)</f>
        <v>0</v>
      </c>
      <c r="O69" s="26">
        <f>P59*Q68</f>
        <v>0</v>
      </c>
      <c r="P69" s="26">
        <f>N69-O69</f>
        <v>0</v>
      </c>
      <c r="Q69" s="26">
        <f>Q68-P69</f>
        <v>0</v>
      </c>
    </row>
    <row r="70" spans="3:22">
      <c r="M70" s="25"/>
      <c r="N70" s="26"/>
      <c r="O70" s="26"/>
      <c r="P70" s="26"/>
      <c r="Q70" s="26"/>
    </row>
    <row r="71" spans="3:22">
      <c r="G71" s="351" t="s">
        <v>847</v>
      </c>
      <c r="M71" s="25"/>
      <c r="N71" s="26"/>
      <c r="O71" s="26"/>
      <c r="P71" s="26"/>
      <c r="Q71" s="26"/>
    </row>
    <row r="72" spans="3:22">
      <c r="M72" s="1615"/>
      <c r="N72" s="1613"/>
      <c r="O72" s="1613"/>
      <c r="P72" s="1613"/>
      <c r="Q72" s="1613"/>
    </row>
    <row r="73" spans="3:22">
      <c r="M73" s="24"/>
      <c r="N73" s="24"/>
      <c r="O73" s="24"/>
      <c r="P73" s="24"/>
      <c r="Q73" s="212"/>
    </row>
    <row r="74" spans="3:22" ht="13.5" customHeight="1">
      <c r="M74" s="25"/>
      <c r="N74" s="26"/>
      <c r="O74" s="26"/>
      <c r="P74" s="26"/>
      <c r="Q74" s="26"/>
    </row>
    <row r="75" spans="3:22">
      <c r="M75" s="25"/>
      <c r="N75" s="26"/>
      <c r="O75" s="26"/>
      <c r="P75" s="26"/>
      <c r="Q75" s="211"/>
    </row>
    <row r="76" spans="3:22">
      <c r="M76" s="25"/>
      <c r="N76" s="26"/>
      <c r="O76" s="26"/>
      <c r="P76" s="26"/>
      <c r="Q76" s="211"/>
    </row>
    <row r="77" spans="3:22">
      <c r="H77" s="254"/>
      <c r="M77" s="25"/>
      <c r="N77" s="26"/>
      <c r="O77" s="26"/>
      <c r="P77" s="26"/>
      <c r="Q77" s="211"/>
    </row>
    <row r="79" spans="3:22">
      <c r="C79" s="272" t="s">
        <v>365</v>
      </c>
      <c r="D79" s="25"/>
      <c r="E79" s="625">
        <f>K55</f>
        <v>175000</v>
      </c>
      <c r="F79" s="625">
        <f>K56</f>
        <v>177500</v>
      </c>
      <c r="G79" s="625">
        <f>K57</f>
        <v>172000</v>
      </c>
      <c r="H79" s="625">
        <f>K58</f>
        <v>172500</v>
      </c>
      <c r="I79" s="625">
        <f>K59</f>
        <v>171000</v>
      </c>
      <c r="P79" s="272"/>
      <c r="Q79" s="25"/>
      <c r="R79" s="25"/>
      <c r="S79" s="25"/>
      <c r="T79" s="25"/>
      <c r="U79" s="25"/>
      <c r="V79" s="25"/>
    </row>
    <row r="80" spans="3:22">
      <c r="C80" s="27" t="s">
        <v>361</v>
      </c>
      <c r="D80" s="27" t="s">
        <v>112</v>
      </c>
      <c r="E80" s="27" t="s">
        <v>113</v>
      </c>
      <c r="F80" s="27" t="s">
        <v>114</v>
      </c>
      <c r="G80" s="27" t="s">
        <v>115</v>
      </c>
      <c r="H80" s="27" t="s">
        <v>116</v>
      </c>
      <c r="I80" s="27" t="s">
        <v>117</v>
      </c>
      <c r="P80" s="27"/>
      <c r="Q80" s="27"/>
      <c r="R80" s="27"/>
      <c r="S80" s="27"/>
      <c r="T80" s="27"/>
      <c r="U80" s="27"/>
      <c r="V80" s="27"/>
    </row>
    <row r="81" spans="3:22">
      <c r="C81" s="269" t="s">
        <v>118</v>
      </c>
      <c r="D81" s="270"/>
      <c r="E81" s="270"/>
      <c r="F81" s="270"/>
      <c r="G81" s="270"/>
      <c r="H81" s="270"/>
      <c r="I81" s="270"/>
      <c r="P81" s="269"/>
      <c r="Q81" s="270"/>
      <c r="R81" s="270"/>
      <c r="S81" s="270"/>
      <c r="T81" s="270"/>
      <c r="U81" s="270"/>
      <c r="V81" s="270"/>
    </row>
    <row r="82" spans="3:22">
      <c r="C82" s="25" t="s">
        <v>356</v>
      </c>
      <c r="D82" s="26"/>
      <c r="E82" s="26">
        <f>H55*E79</f>
        <v>26250000</v>
      </c>
      <c r="F82" s="26">
        <f>H56*F79</f>
        <v>27512500</v>
      </c>
      <c r="G82" s="26">
        <f>H57*G79</f>
        <v>27520000</v>
      </c>
      <c r="H82" s="26">
        <f>H58*H79</f>
        <v>27600000</v>
      </c>
      <c r="I82" s="26">
        <f>H59*I79</f>
        <v>29070000</v>
      </c>
      <c r="P82" s="25"/>
      <c r="Q82" s="26"/>
      <c r="R82" s="26"/>
      <c r="S82" s="26"/>
      <c r="T82" s="26"/>
      <c r="U82" s="26"/>
      <c r="V82" s="26"/>
    </row>
    <row r="83" spans="3:22">
      <c r="C83" s="25" t="s">
        <v>119</v>
      </c>
      <c r="D83" s="26"/>
      <c r="E83" s="26"/>
      <c r="F83" s="26"/>
      <c r="G83" s="26"/>
      <c r="H83" s="26"/>
      <c r="I83" s="26"/>
      <c r="P83" s="25"/>
      <c r="Q83" s="26"/>
      <c r="R83" s="26"/>
      <c r="S83" s="26"/>
      <c r="T83" s="26"/>
      <c r="U83" s="26"/>
      <c r="V83" s="26"/>
    </row>
    <row r="84" spans="3:22">
      <c r="C84" s="25" t="s">
        <v>771</v>
      </c>
      <c r="D84" s="26"/>
      <c r="E84" s="26"/>
      <c r="F84" s="26"/>
      <c r="G84" s="26"/>
      <c r="H84" s="26"/>
      <c r="I84" s="26">
        <f>M14*1*0.5</f>
        <v>826446.28099173552</v>
      </c>
      <c r="J84" t="s">
        <v>763</v>
      </c>
      <c r="P84" s="25"/>
      <c r="Q84" s="26"/>
      <c r="R84" s="26"/>
      <c r="S84" s="26"/>
      <c r="T84" s="26"/>
      <c r="U84" s="26"/>
      <c r="V84" s="26"/>
    </row>
    <row r="85" spans="3:22">
      <c r="C85" s="25" t="s">
        <v>783</v>
      </c>
      <c r="D85" s="26"/>
      <c r="E85" s="26"/>
      <c r="F85" s="26"/>
      <c r="G85" s="26"/>
      <c r="H85" s="26"/>
      <c r="I85" s="280">
        <f>D121*-1*0.6*0.3</f>
        <v>180000</v>
      </c>
      <c r="J85" t="s">
        <v>770</v>
      </c>
      <c r="P85" s="25"/>
      <c r="Q85" s="26"/>
      <c r="R85" s="26"/>
      <c r="S85" s="26"/>
      <c r="T85" s="26"/>
      <c r="U85" s="26"/>
      <c r="V85" s="280"/>
    </row>
    <row r="86" spans="3:22">
      <c r="C86" s="25" t="s">
        <v>784</v>
      </c>
      <c r="D86" s="26"/>
      <c r="E86" s="26"/>
      <c r="F86" s="26"/>
      <c r="G86" s="26">
        <f>D121*0.4*0.6*-1</f>
        <v>240000</v>
      </c>
      <c r="H86" s="26"/>
      <c r="I86" s="280"/>
      <c r="P86" s="25"/>
      <c r="Q86" s="26"/>
      <c r="R86" s="26"/>
      <c r="S86" s="26"/>
      <c r="T86" s="26"/>
      <c r="U86" s="26"/>
      <c r="V86" s="280"/>
    </row>
    <row r="87" spans="3:22">
      <c r="C87" s="25" t="s">
        <v>774</v>
      </c>
      <c r="D87" s="26"/>
      <c r="E87" s="26"/>
      <c r="F87" s="26"/>
      <c r="G87" s="26"/>
      <c r="H87" s="26"/>
      <c r="I87" s="280">
        <f>G122*-1*0.3</f>
        <v>75000</v>
      </c>
      <c r="J87" s="382" t="s">
        <v>775</v>
      </c>
      <c r="P87" s="25"/>
      <c r="Q87" s="26"/>
      <c r="R87" s="26"/>
      <c r="S87" s="26"/>
      <c r="T87" s="26"/>
      <c r="U87" s="26"/>
      <c r="V87" s="280"/>
    </row>
    <row r="88" spans="3:22">
      <c r="C88" s="269" t="s">
        <v>121</v>
      </c>
      <c r="D88" s="270"/>
      <c r="E88" s="270"/>
      <c r="F88" s="270"/>
      <c r="G88" s="270"/>
      <c r="H88" s="270"/>
      <c r="I88" s="270"/>
      <c r="P88" s="269"/>
      <c r="Q88" s="270"/>
      <c r="R88" s="270"/>
      <c r="S88" s="270"/>
      <c r="T88" s="270"/>
      <c r="U88" s="270"/>
      <c r="V88" s="270"/>
    </row>
    <row r="89" spans="3:22">
      <c r="C89" s="25" t="s">
        <v>122</v>
      </c>
      <c r="D89" s="26"/>
      <c r="E89" s="26">
        <f>O67*-1</f>
        <v>0</v>
      </c>
      <c r="F89" s="26">
        <f>O68*-1</f>
        <v>0</v>
      </c>
      <c r="G89" s="26">
        <f>O69*-1</f>
        <v>0</v>
      </c>
      <c r="H89" s="26"/>
      <c r="I89" s="26"/>
      <c r="P89" s="25"/>
      <c r="Q89" s="26"/>
      <c r="R89" s="26"/>
      <c r="S89" s="26"/>
      <c r="T89" s="26"/>
      <c r="U89" s="26"/>
      <c r="V89" s="26"/>
    </row>
    <row r="90" spans="3:22">
      <c r="C90" s="47" t="s">
        <v>801</v>
      </c>
      <c r="D90" s="26"/>
      <c r="E90" s="26">
        <v>-1000000</v>
      </c>
      <c r="F90" s="26">
        <v>-1000000</v>
      </c>
      <c r="G90" s="26">
        <v>-1000000</v>
      </c>
      <c r="H90" s="26">
        <v>-1000000</v>
      </c>
      <c r="I90" s="26">
        <v>-1000000</v>
      </c>
      <c r="K90" t="s">
        <v>776</v>
      </c>
      <c r="P90" s="47"/>
      <c r="Q90" s="26"/>
      <c r="R90" s="26"/>
      <c r="S90" s="26"/>
      <c r="T90" s="26"/>
      <c r="U90" s="26"/>
      <c r="V90" s="26"/>
    </row>
    <row r="91" spans="3:22">
      <c r="C91" s="631" t="s">
        <v>811</v>
      </c>
      <c r="D91" s="26"/>
      <c r="E91" s="26">
        <f>-E82*0.015</f>
        <v>-393750</v>
      </c>
      <c r="F91" s="26">
        <f>-F82*0.015</f>
        <v>-412687.5</v>
      </c>
      <c r="G91" s="26">
        <f>-G82*0.015</f>
        <v>-412800</v>
      </c>
      <c r="H91" s="26">
        <f>-H82*0.015</f>
        <v>-414000</v>
      </c>
      <c r="I91" s="26">
        <f>-I82*0.015</f>
        <v>-436050</v>
      </c>
      <c r="P91" s="47"/>
      <c r="Q91" s="26"/>
      <c r="R91" s="26"/>
      <c r="S91" s="26"/>
      <c r="T91" s="26"/>
      <c r="U91" s="26"/>
      <c r="V91" s="26"/>
    </row>
    <row r="92" spans="3:22">
      <c r="C92" s="632">
        <v>0.05</v>
      </c>
      <c r="D92" s="26"/>
      <c r="E92" s="26">
        <f>-E82*0.05</f>
        <v>-1312500</v>
      </c>
      <c r="F92" s="26">
        <f>-F82*0.05</f>
        <v>-1375625</v>
      </c>
      <c r="G92" s="26">
        <f>-G82*0.05</f>
        <v>-1376000</v>
      </c>
      <c r="H92" s="26">
        <f>-H82*0.05</f>
        <v>-1380000</v>
      </c>
      <c r="I92" s="26">
        <f>-I82*0.05</f>
        <v>-1453500</v>
      </c>
      <c r="P92" s="47"/>
      <c r="Q92" s="26"/>
      <c r="R92" s="26"/>
      <c r="S92" s="26"/>
      <c r="T92" s="26"/>
      <c r="U92" s="26"/>
      <c r="V92" s="26"/>
    </row>
    <row r="93" spans="3:22">
      <c r="C93" s="47" t="s">
        <v>802</v>
      </c>
      <c r="D93" s="26"/>
      <c r="E93" s="26">
        <f>(E82+E91+E92)*0.02*-1</f>
        <v>-490875</v>
      </c>
      <c r="F93" s="26">
        <f>(F82+F91+F92)*0.02*-1</f>
        <v>-514483.75</v>
      </c>
      <c r="G93" s="26">
        <f>(G82+G91+G92)*0.02*-1</f>
        <v>-514624</v>
      </c>
      <c r="H93" s="26">
        <f>(H82+H91+H92)*0.02*-1</f>
        <v>-516120</v>
      </c>
      <c r="I93" s="26">
        <f>(I82+I91+I92)*0.02*-1</f>
        <v>-543609</v>
      </c>
      <c r="K93">
        <f>125000/(1+0.7)^3</f>
        <v>25442.703032770205</v>
      </c>
      <c r="P93" s="47"/>
      <c r="Q93" s="26"/>
      <c r="R93" s="26"/>
      <c r="S93" s="26"/>
      <c r="T93" s="26"/>
      <c r="U93" s="26"/>
      <c r="V93" s="26"/>
    </row>
    <row r="94" spans="3:22" ht="15.75" customHeight="1">
      <c r="C94" s="287" t="s">
        <v>803</v>
      </c>
      <c r="D94" s="26"/>
      <c r="E94" s="26">
        <f>-500000</f>
        <v>-500000</v>
      </c>
      <c r="F94" s="26">
        <f>-500000</f>
        <v>-500000</v>
      </c>
      <c r="G94" s="26">
        <f>-500000</f>
        <v>-500000</v>
      </c>
      <c r="H94" s="26">
        <f>-500000</f>
        <v>-500000</v>
      </c>
      <c r="I94" s="26">
        <f>-500000</f>
        <v>-500000</v>
      </c>
      <c r="K94" t="s">
        <v>777</v>
      </c>
      <c r="P94" s="287"/>
      <c r="Q94" s="26"/>
      <c r="R94" s="26"/>
      <c r="S94" s="26"/>
      <c r="T94" s="26"/>
      <c r="U94" s="26"/>
      <c r="V94" s="26"/>
    </row>
    <row r="95" spans="3:22" ht="15.75" customHeight="1">
      <c r="C95" s="199" t="s">
        <v>844</v>
      </c>
      <c r="D95" s="26"/>
      <c r="E95" s="26">
        <f>E79*$M$134*-1</f>
        <v>-11375000</v>
      </c>
      <c r="F95" s="26">
        <f>F79*$M$134*-1</f>
        <v>-11537500</v>
      </c>
      <c r="G95" s="26">
        <f>G79*$M$134*-1</f>
        <v>-11180000</v>
      </c>
      <c r="H95" s="26">
        <f>H79*$M$134*-1</f>
        <v>-11212500</v>
      </c>
      <c r="I95" s="26">
        <f>I79*$M$134*-1</f>
        <v>-11115000</v>
      </c>
      <c r="P95" s="199"/>
      <c r="Q95" s="26"/>
      <c r="R95" s="26"/>
      <c r="S95" s="26"/>
      <c r="T95" s="26"/>
      <c r="U95" s="26"/>
      <c r="V95" s="26"/>
    </row>
    <row r="96" spans="3:22" ht="15.75" customHeight="1">
      <c r="C96" s="199" t="s">
        <v>762</v>
      </c>
      <c r="D96" s="26"/>
      <c r="E96" s="26">
        <f>-75000*12</f>
        <v>-900000</v>
      </c>
      <c r="F96" s="26">
        <f>-75000*12</f>
        <v>-900000</v>
      </c>
      <c r="G96" s="26">
        <f>-75000*12</f>
        <v>-900000</v>
      </c>
      <c r="H96" s="26">
        <f>-75000*12</f>
        <v>-900000</v>
      </c>
      <c r="I96" s="26">
        <f>-75000*12</f>
        <v>-900000</v>
      </c>
      <c r="P96" s="199"/>
      <c r="Q96" s="26"/>
      <c r="R96" s="26"/>
      <c r="S96" s="26"/>
      <c r="T96" s="26"/>
      <c r="U96" s="26"/>
      <c r="V96" s="26"/>
    </row>
    <row r="97" spans="3:22" ht="15.75" customHeight="1">
      <c r="C97" s="199"/>
      <c r="D97" s="26"/>
      <c r="E97" s="26"/>
      <c r="F97" s="26"/>
      <c r="G97" s="26"/>
      <c r="H97" s="26"/>
      <c r="I97" s="26"/>
      <c r="P97" s="199"/>
      <c r="Q97" s="26"/>
      <c r="R97" s="26"/>
      <c r="S97" s="26"/>
      <c r="T97" s="26"/>
      <c r="U97" s="26"/>
      <c r="V97" s="26"/>
    </row>
    <row r="98" spans="3:22" ht="15.75" customHeight="1">
      <c r="C98" s="199" t="s">
        <v>518</v>
      </c>
      <c r="D98" s="26"/>
      <c r="E98" s="26"/>
      <c r="F98" s="26"/>
      <c r="G98" s="26"/>
      <c r="H98" s="26"/>
      <c r="I98" s="26"/>
      <c r="P98" s="199"/>
      <c r="Q98" s="26"/>
      <c r="R98" s="26"/>
      <c r="S98" s="26"/>
      <c r="T98" s="26"/>
      <c r="U98" s="26"/>
      <c r="V98" s="26"/>
    </row>
    <row r="99" spans="3:22" ht="15.75" customHeight="1">
      <c r="C99" s="199" t="s">
        <v>478</v>
      </c>
      <c r="D99" s="26"/>
      <c r="E99" s="26"/>
      <c r="F99" s="26"/>
      <c r="G99" s="26"/>
      <c r="H99" s="26"/>
      <c r="I99" s="26"/>
      <c r="P99" s="199"/>
      <c r="Q99" s="26"/>
      <c r="R99" s="26"/>
      <c r="S99" s="26"/>
      <c r="T99" s="26"/>
      <c r="U99" s="26"/>
      <c r="V99" s="26"/>
    </row>
    <row r="100" spans="3:22" ht="15.75" customHeight="1">
      <c r="C100" s="199" t="s">
        <v>543</v>
      </c>
      <c r="D100" s="26"/>
      <c r="E100" s="26"/>
      <c r="F100" s="26"/>
      <c r="G100" s="26"/>
      <c r="H100" s="26"/>
      <c r="I100" s="26"/>
      <c r="P100" s="199"/>
      <c r="Q100" s="26"/>
      <c r="R100" s="26"/>
      <c r="S100" s="26"/>
      <c r="T100" s="26"/>
      <c r="U100" s="26"/>
      <c r="V100" s="26"/>
    </row>
    <row r="101" spans="3:22" ht="15.75" customHeight="1">
      <c r="C101" s="199" t="s">
        <v>766</v>
      </c>
      <c r="D101" s="26"/>
      <c r="E101" s="26"/>
      <c r="F101" s="26"/>
      <c r="G101" s="26"/>
      <c r="H101" s="26"/>
      <c r="I101" s="26">
        <f>M16</f>
        <v>-82644.628099173555</v>
      </c>
      <c r="P101" s="199"/>
      <c r="Q101" s="26"/>
      <c r="R101" s="26"/>
      <c r="S101" s="26"/>
      <c r="T101" s="26"/>
      <c r="U101" s="26"/>
      <c r="V101" s="26"/>
    </row>
    <row r="102" spans="3:22">
      <c r="C102" s="267" t="s">
        <v>125</v>
      </c>
      <c r="D102" s="268"/>
      <c r="E102" s="268"/>
      <c r="F102" s="268"/>
      <c r="G102" s="268"/>
      <c r="H102" s="268"/>
      <c r="I102" s="268"/>
      <c r="P102" s="267"/>
      <c r="Q102" s="268"/>
      <c r="R102" s="268"/>
      <c r="S102" s="268"/>
      <c r="T102" s="268"/>
      <c r="U102" s="268"/>
      <c r="V102" s="268"/>
    </row>
    <row r="103" spans="3:22">
      <c r="C103" s="25" t="s">
        <v>761</v>
      </c>
      <c r="D103" s="26"/>
      <c r="E103" s="26">
        <f>$D$120/10</f>
        <v>-181818.18181818182</v>
      </c>
      <c r="F103" s="26">
        <f>$D$120/10</f>
        <v>-181818.18181818182</v>
      </c>
      <c r="G103" s="26">
        <f>$D$120/10</f>
        <v>-181818.18181818182</v>
      </c>
      <c r="H103" s="26">
        <f>$D$120/10</f>
        <v>-181818.18181818182</v>
      </c>
      <c r="I103" s="26">
        <f>$D$120/10</f>
        <v>-181818.18181818182</v>
      </c>
      <c r="J103" s="1746"/>
      <c r="K103" s="1747"/>
      <c r="L103" s="1747"/>
      <c r="M103" s="1747"/>
      <c r="P103" s="25"/>
      <c r="Q103" s="26"/>
      <c r="R103" s="26"/>
      <c r="S103" s="26"/>
      <c r="T103" s="26"/>
      <c r="U103" s="26"/>
      <c r="V103" s="26"/>
    </row>
    <row r="104" spans="3:22">
      <c r="C104" s="25" t="s">
        <v>779</v>
      </c>
      <c r="D104" s="26"/>
      <c r="E104" s="26">
        <f>$D$121*0.6/10</f>
        <v>-60000</v>
      </c>
      <c r="F104" s="26">
        <f>$D$121*0.6/10</f>
        <v>-60000</v>
      </c>
      <c r="G104" s="26">
        <f>$D$121*0.6/10</f>
        <v>-60000</v>
      </c>
      <c r="H104" s="26">
        <f>$D$121*0.6/10</f>
        <v>-60000</v>
      </c>
      <c r="I104" s="26">
        <f>$D$121*0.6/10</f>
        <v>-60000</v>
      </c>
      <c r="P104" s="25"/>
      <c r="Q104" s="26"/>
      <c r="R104" s="26"/>
      <c r="S104" s="26"/>
      <c r="T104" s="26"/>
      <c r="U104" s="26"/>
      <c r="V104" s="26"/>
    </row>
    <row r="105" spans="3:22">
      <c r="C105" s="25" t="s">
        <v>780</v>
      </c>
      <c r="D105" s="26"/>
      <c r="E105" s="26">
        <f>$D$121*0.4/10</f>
        <v>-40000</v>
      </c>
      <c r="F105" s="26">
        <f>$D$121*0.4/10</f>
        <v>-40000</v>
      </c>
      <c r="G105" s="26">
        <f>$D$121*0.4/10</f>
        <v>-40000</v>
      </c>
      <c r="H105" s="26"/>
      <c r="I105" s="26"/>
      <c r="P105" s="25"/>
      <c r="Q105" s="26"/>
      <c r="R105" s="26"/>
      <c r="S105" s="26"/>
      <c r="T105" s="26"/>
      <c r="U105" s="26"/>
      <c r="V105" s="26"/>
    </row>
    <row r="106" spans="3:22">
      <c r="C106" s="25" t="s">
        <v>773</v>
      </c>
      <c r="D106" s="26"/>
      <c r="E106" s="26"/>
      <c r="F106" s="26"/>
      <c r="G106" s="26"/>
      <c r="H106" s="26">
        <f>$G$122/10</f>
        <v>-25000</v>
      </c>
      <c r="I106" s="26">
        <f>$G$122/10</f>
        <v>-25000</v>
      </c>
      <c r="P106" s="25"/>
      <c r="Q106" s="26"/>
      <c r="R106" s="26"/>
      <c r="S106" s="26"/>
      <c r="T106" s="26"/>
      <c r="U106" s="26"/>
      <c r="V106" s="26"/>
    </row>
    <row r="107" spans="3:22">
      <c r="C107" s="25" t="s">
        <v>787</v>
      </c>
      <c r="D107" s="26"/>
      <c r="E107" s="26">
        <f>$D$123/3</f>
        <v>-33333.333333333336</v>
      </c>
      <c r="F107" s="26">
        <f>$D$123/3</f>
        <v>-33333.333333333336</v>
      </c>
      <c r="G107" s="26">
        <f>$D$123/3</f>
        <v>-33333.333333333336</v>
      </c>
      <c r="H107" s="26"/>
      <c r="I107" s="118"/>
      <c r="P107" s="25"/>
      <c r="Q107" s="26"/>
      <c r="R107" s="26"/>
      <c r="S107" s="26"/>
      <c r="T107" s="26"/>
      <c r="U107" s="26"/>
      <c r="V107" s="26"/>
    </row>
    <row r="108" spans="3:22">
      <c r="C108" s="25" t="s">
        <v>768</v>
      </c>
      <c r="D108" s="26"/>
      <c r="E108" s="26"/>
      <c r="F108" s="26"/>
      <c r="G108" s="26"/>
      <c r="H108" s="26"/>
      <c r="I108" s="118">
        <f>E103*5</f>
        <v>-909090.90909090918</v>
      </c>
      <c r="P108" s="25"/>
      <c r="Q108" s="26"/>
      <c r="R108" s="26"/>
      <c r="S108" s="26"/>
      <c r="T108" s="26"/>
      <c r="U108" s="26"/>
      <c r="V108" s="26"/>
    </row>
    <row r="109" spans="3:22">
      <c r="C109" s="25" t="s">
        <v>334</v>
      </c>
      <c r="D109" s="26"/>
      <c r="E109" s="26"/>
      <c r="F109" s="26"/>
      <c r="G109" s="26"/>
      <c r="H109" s="211"/>
      <c r="I109" s="599">
        <f>E104*5</f>
        <v>-300000</v>
      </c>
      <c r="J109" t="s">
        <v>769</v>
      </c>
      <c r="P109" s="25"/>
      <c r="Q109" s="26"/>
      <c r="R109" s="26"/>
      <c r="S109" s="26"/>
      <c r="T109" s="26"/>
      <c r="U109" s="26"/>
      <c r="V109" s="26"/>
    </row>
    <row r="110" spans="3:22">
      <c r="C110" s="25" t="s">
        <v>575</v>
      </c>
      <c r="D110" s="26"/>
      <c r="E110" s="26"/>
      <c r="F110" s="26"/>
      <c r="G110" s="26"/>
      <c r="H110" s="26"/>
      <c r="I110" s="103">
        <f>H106*8</f>
        <v>-200000</v>
      </c>
      <c r="P110" s="25"/>
      <c r="Q110" s="26"/>
      <c r="R110" s="26"/>
      <c r="S110" s="26"/>
      <c r="T110" s="26"/>
      <c r="U110" s="26"/>
      <c r="V110" s="26"/>
    </row>
    <row r="111" spans="3:22">
      <c r="C111" s="25" t="s">
        <v>781</v>
      </c>
      <c r="D111" s="26"/>
      <c r="E111" s="26"/>
      <c r="F111" s="26"/>
      <c r="G111" s="26">
        <f>G105*(2+5)</f>
        <v>-280000</v>
      </c>
      <c r="H111" s="26"/>
      <c r="I111" s="103"/>
      <c r="P111" s="25"/>
      <c r="Q111" s="26"/>
      <c r="R111" s="26"/>
      <c r="S111" s="26"/>
      <c r="T111" s="26"/>
      <c r="U111" s="26"/>
      <c r="V111" s="26"/>
    </row>
    <row r="112" spans="3:22">
      <c r="C112" s="25" t="s">
        <v>786</v>
      </c>
      <c r="D112" s="26"/>
      <c r="E112" s="26"/>
      <c r="F112" s="26"/>
      <c r="G112" s="26">
        <v>0</v>
      </c>
      <c r="H112" s="26"/>
      <c r="I112" s="103"/>
      <c r="P112" s="25"/>
      <c r="Q112" s="26"/>
      <c r="R112" s="26"/>
      <c r="S112" s="26"/>
      <c r="T112" s="26"/>
      <c r="U112" s="26"/>
      <c r="V112" s="26"/>
    </row>
    <row r="113" spans="3:23" ht="14.25">
      <c r="C113" s="31" t="s">
        <v>130</v>
      </c>
      <c r="D113" s="32"/>
      <c r="E113" s="32">
        <f>SUM(E81:E109)</f>
        <v>9962723.4848484844</v>
      </c>
      <c r="F113" s="32">
        <f>SUM(F81:F109)</f>
        <v>10957052.234848484</v>
      </c>
      <c r="G113" s="32">
        <f>SUM(G81:G112)</f>
        <v>11281424.484848484</v>
      </c>
      <c r="H113" s="32">
        <f>SUM(H81:H109)</f>
        <v>11410561.818181818</v>
      </c>
      <c r="I113" s="32">
        <f>SUM(I81:I110)</f>
        <v>12444733.561983474</v>
      </c>
      <c r="K113" s="259" t="s">
        <v>782</v>
      </c>
      <c r="L113" s="259"/>
      <c r="M113" s="259"/>
      <c r="P113" s="31"/>
      <c r="Q113" s="32"/>
      <c r="R113" s="32"/>
      <c r="S113" s="32"/>
      <c r="T113" s="32"/>
      <c r="U113" s="32"/>
      <c r="V113" s="32"/>
    </row>
    <row r="114" spans="3:23">
      <c r="C114" s="33" t="s">
        <v>349</v>
      </c>
      <c r="D114" s="26"/>
      <c r="E114" s="26">
        <f>E113*0.35</f>
        <v>3486953.2196969693</v>
      </c>
      <c r="F114" s="26">
        <f>F113*0.35</f>
        <v>3834968.2821969693</v>
      </c>
      <c r="G114" s="26">
        <f>G113*0.35</f>
        <v>3948498.5696969694</v>
      </c>
      <c r="H114" s="26">
        <f>H113*0.35</f>
        <v>3993696.6363636362</v>
      </c>
      <c r="I114" s="26">
        <f>I113*0.35</f>
        <v>4355656.7466942156</v>
      </c>
      <c r="K114" s="276">
        <f>G111+I109+G105+F105+E105+E104+F104+G104+H104+I104</f>
        <v>-1000000</v>
      </c>
      <c r="L114" s="259"/>
      <c r="M114" s="259"/>
      <c r="P114" s="33"/>
      <c r="Q114" s="26"/>
      <c r="R114" s="26"/>
      <c r="S114" s="26"/>
      <c r="T114" s="26"/>
      <c r="U114" s="26"/>
      <c r="V114" s="26"/>
    </row>
    <row r="115" spans="3:23" ht="28.5">
      <c r="C115" s="34" t="s">
        <v>132</v>
      </c>
      <c r="D115" s="35"/>
      <c r="E115" s="35">
        <f>E113-E114</f>
        <v>6475770.2651515156</v>
      </c>
      <c r="F115" s="35">
        <f>F113-F114</f>
        <v>7122083.9526515156</v>
      </c>
      <c r="G115" s="35">
        <f>G113-G114</f>
        <v>7332925.915151515</v>
      </c>
      <c r="H115" s="35">
        <f>H113-H114</f>
        <v>7416865.1818181816</v>
      </c>
      <c r="I115" s="35">
        <f>I113-I114</f>
        <v>8089076.815289258</v>
      </c>
      <c r="P115" s="34"/>
      <c r="Q115" s="35"/>
      <c r="R115" s="35"/>
      <c r="S115" s="35"/>
      <c r="T115" s="35"/>
      <c r="U115" s="35"/>
      <c r="V115" s="35"/>
    </row>
    <row r="116" spans="3:23">
      <c r="C116" s="33" t="s">
        <v>133</v>
      </c>
      <c r="D116" s="26"/>
      <c r="E116" s="26">
        <f>SUM(E103:E110)*-1</f>
        <v>315151.51515151514</v>
      </c>
      <c r="F116" s="26">
        <f>SUM(F103:F110)*-1</f>
        <v>315151.51515151514</v>
      </c>
      <c r="G116" s="26">
        <f>SUM(G103:G112)*-1</f>
        <v>595151.51515151514</v>
      </c>
      <c r="H116" s="26">
        <f>SUM(H103:H110)*-1</f>
        <v>266818.18181818182</v>
      </c>
      <c r="I116" s="26">
        <f>SUM(I103:I110)*-1</f>
        <v>1675909.0909090911</v>
      </c>
      <c r="P116" s="33"/>
      <c r="Q116" s="26"/>
      <c r="R116" s="26"/>
      <c r="S116" s="26"/>
      <c r="T116" s="26"/>
      <c r="U116" s="26"/>
      <c r="V116" s="26"/>
    </row>
    <row r="117" spans="3:23" ht="26.25">
      <c r="C117" s="33" t="s">
        <v>712</v>
      </c>
      <c r="D117" s="562">
        <v>-400320.83333333337</v>
      </c>
      <c r="E117">
        <v>-5718.8690476190277</v>
      </c>
      <c r="F117" s="382"/>
      <c r="G117">
        <v>-1143.7738095238117</v>
      </c>
      <c r="H117" s="382"/>
      <c r="I117" s="26"/>
      <c r="P117" s="284"/>
      <c r="Q117" s="26"/>
      <c r="R117" s="26"/>
      <c r="S117" s="26"/>
      <c r="T117" s="26"/>
      <c r="U117" s="26"/>
    </row>
    <row r="118" spans="3:23">
      <c r="C118" s="25" t="s">
        <v>134</v>
      </c>
      <c r="D118" s="26"/>
      <c r="E118" s="26">
        <f>P67*-1</f>
        <v>0</v>
      </c>
      <c r="F118" s="26">
        <f>P68*-1</f>
        <v>0</v>
      </c>
      <c r="G118" s="26">
        <f>P69*-1</f>
        <v>0</v>
      </c>
      <c r="H118" s="26"/>
      <c r="I118" s="26"/>
      <c r="L118">
        <v>-5635.4159226190286</v>
      </c>
      <c r="P118" s="25"/>
      <c r="R118" s="26"/>
      <c r="S118" s="26"/>
      <c r="T118" s="26"/>
      <c r="U118" s="26"/>
      <c r="V118" s="26"/>
    </row>
    <row r="119" spans="3:23">
      <c r="C119" s="25" t="s">
        <v>135</v>
      </c>
      <c r="D119" s="26">
        <v>0</v>
      </c>
      <c r="E119" s="26"/>
      <c r="F119" s="26"/>
      <c r="G119" s="26"/>
      <c r="H119" s="26"/>
      <c r="I119" s="26"/>
      <c r="L119">
        <v>12397.915029761889</v>
      </c>
      <c r="P119" s="286"/>
      <c r="R119" s="26"/>
      <c r="S119" s="26"/>
      <c r="T119" s="26"/>
      <c r="U119" s="26"/>
      <c r="V119" s="26"/>
    </row>
    <row r="120" spans="3:23">
      <c r="C120" s="25" t="s">
        <v>767</v>
      </c>
      <c r="D120" s="26">
        <f>-M15</f>
        <v>-1818181.8181818184</v>
      </c>
      <c r="E120" s="26"/>
      <c r="F120" s="26"/>
      <c r="G120" s="26"/>
      <c r="H120" s="118"/>
      <c r="I120" s="26"/>
      <c r="L120">
        <v>-1127.0831845238117</v>
      </c>
      <c r="P120" s="286"/>
      <c r="Q120" s="26"/>
      <c r="V120" s="26"/>
    </row>
    <row r="121" spans="3:23">
      <c r="C121" s="25" t="s">
        <v>778</v>
      </c>
      <c r="D121" s="26">
        <v>-1000000</v>
      </c>
      <c r="E121" s="26"/>
      <c r="F121" s="26"/>
      <c r="G121" s="211"/>
      <c r="H121" s="342"/>
      <c r="I121" s="633"/>
      <c r="L121">
        <v>3381.2495535714093</v>
      </c>
      <c r="P121" s="286"/>
      <c r="Q121" s="26"/>
      <c r="R121" s="26"/>
      <c r="S121" s="26"/>
      <c r="T121" s="26"/>
      <c r="U121" s="26"/>
      <c r="V121" s="26"/>
    </row>
    <row r="122" spans="3:23">
      <c r="C122" s="25" t="s">
        <v>772</v>
      </c>
      <c r="D122" s="26"/>
      <c r="E122" s="26"/>
      <c r="F122" s="26"/>
      <c r="G122" s="211">
        <v>-250000</v>
      </c>
      <c r="H122" s="342"/>
      <c r="I122" s="633"/>
      <c r="P122" s="286"/>
      <c r="Q122" s="26"/>
      <c r="R122" s="26"/>
      <c r="S122" s="26"/>
      <c r="T122" s="26"/>
      <c r="U122" s="26"/>
      <c r="V122" s="26"/>
    </row>
    <row r="123" spans="3:23">
      <c r="C123" s="25" t="s">
        <v>785</v>
      </c>
      <c r="D123" s="26">
        <v>-100000</v>
      </c>
      <c r="E123" s="26"/>
      <c r="F123" s="26"/>
      <c r="G123" s="211"/>
      <c r="H123" s="342"/>
      <c r="I123" s="633"/>
      <c r="J123" s="351" t="s">
        <v>851</v>
      </c>
      <c r="P123" s="286"/>
      <c r="Q123" s="26"/>
      <c r="R123" s="26"/>
      <c r="S123" s="26"/>
      <c r="T123" s="26"/>
      <c r="U123" s="26"/>
      <c r="V123" s="26"/>
    </row>
    <row r="124" spans="3:23">
      <c r="C124" s="286" t="s">
        <v>412</v>
      </c>
      <c r="D124" s="26"/>
      <c r="E124" s="26"/>
      <c r="F124" s="26"/>
      <c r="G124" s="26"/>
      <c r="H124" s="103"/>
      <c r="I124" s="26">
        <f>(D117+E117+G117)*-1</f>
        <v>407183.47619047621</v>
      </c>
      <c r="P124" s="286"/>
      <c r="Q124" s="26"/>
      <c r="R124" s="26"/>
      <c r="S124" s="26"/>
      <c r="T124" s="26"/>
      <c r="U124" s="26"/>
      <c r="V124" s="26"/>
    </row>
    <row r="125" spans="3:23" ht="14.25">
      <c r="C125" s="37" t="s">
        <v>139</v>
      </c>
      <c r="D125" s="35">
        <f t="shared" ref="D125:I125" si="0">SUM(D115:D124)</f>
        <v>-3318502.6515151518</v>
      </c>
      <c r="E125" s="35">
        <f t="shared" si="0"/>
        <v>6785202.9112554118</v>
      </c>
      <c r="F125" s="35">
        <f t="shared" si="0"/>
        <v>7437235.4678030312</v>
      </c>
      <c r="G125" s="35">
        <f t="shared" si="0"/>
        <v>7676933.6564935055</v>
      </c>
      <c r="H125" s="35">
        <f t="shared" si="0"/>
        <v>7683683.3636363633</v>
      </c>
      <c r="I125" s="35">
        <f t="shared" si="0"/>
        <v>10172169.382388825</v>
      </c>
      <c r="J125" s="288">
        <f>NPV(K127,E125:I125)+D125</f>
        <v>24788004.329653505</v>
      </c>
      <c r="P125" s="37"/>
      <c r="Q125" s="35"/>
      <c r="R125" s="35"/>
      <c r="S125" s="35"/>
      <c r="T125" s="35"/>
      <c r="U125" s="35"/>
      <c r="V125" s="35"/>
      <c r="W125" s="297"/>
    </row>
    <row r="126" spans="3:23">
      <c r="C126" s="3"/>
      <c r="E126" s="5"/>
      <c r="F126" s="5"/>
      <c r="G126" s="5"/>
      <c r="H126" s="5"/>
      <c r="I126" s="5"/>
    </row>
    <row r="127" spans="3:23">
      <c r="J127" s="351" t="s">
        <v>140</v>
      </c>
      <c r="K127" s="208">
        <v>0.12</v>
      </c>
    </row>
    <row r="128" spans="3:23">
      <c r="E128" s="297"/>
      <c r="K128" s="274"/>
    </row>
    <row r="129" spans="3:17">
      <c r="C129" s="593"/>
      <c r="D129" s="380"/>
      <c r="E129" s="380"/>
      <c r="F129" s="380"/>
      <c r="G129" s="380"/>
      <c r="H129" s="380"/>
      <c r="I129" s="380"/>
    </row>
    <row r="130" spans="3:17" ht="12.75" customHeight="1">
      <c r="N130" s="369"/>
      <c r="O130" s="369"/>
      <c r="P130" s="369"/>
      <c r="Q130" s="369"/>
    </row>
    <row r="131" spans="3:17" ht="13.5" thickBot="1">
      <c r="N131" s="369"/>
      <c r="O131" s="369"/>
      <c r="P131" s="369"/>
      <c r="Q131" s="369"/>
    </row>
    <row r="132" spans="3:17" ht="15" thickBot="1">
      <c r="D132" s="1703" t="s">
        <v>576</v>
      </c>
      <c r="E132" s="1704"/>
      <c r="F132" s="1704"/>
      <c r="G132" s="1704"/>
      <c r="H132" s="1704"/>
      <c r="I132" s="1704"/>
      <c r="J132" s="1704"/>
      <c r="K132" s="1704"/>
      <c r="L132" s="1704"/>
      <c r="M132" s="1705"/>
      <c r="N132" s="384"/>
      <c r="O132" s="384"/>
      <c r="P132" s="369"/>
      <c r="Q132" s="369"/>
    </row>
    <row r="133" spans="3:17" ht="30">
      <c r="D133" s="401" t="s">
        <v>577</v>
      </c>
      <c r="E133" s="402" t="s">
        <v>578</v>
      </c>
      <c r="F133" s="403" t="s">
        <v>579</v>
      </c>
      <c r="G133" s="403" t="s">
        <v>102</v>
      </c>
      <c r="H133" s="403" t="s">
        <v>580</v>
      </c>
      <c r="I133" s="403" t="s">
        <v>581</v>
      </c>
      <c r="J133" s="403" t="s">
        <v>582</v>
      </c>
      <c r="K133" s="404" t="s">
        <v>583</v>
      </c>
      <c r="L133" s="405" t="s">
        <v>584</v>
      </c>
      <c r="M133" s="401" t="s">
        <v>585</v>
      </c>
      <c r="N133" s="384"/>
      <c r="O133" s="401" t="s">
        <v>586</v>
      </c>
      <c r="P133" s="369"/>
      <c r="Q133" s="369"/>
    </row>
    <row r="134" spans="3:17" ht="14.25">
      <c r="D134" s="406" t="s">
        <v>842</v>
      </c>
      <c r="E134" s="524">
        <v>35</v>
      </c>
      <c r="F134" s="408" t="s">
        <v>519</v>
      </c>
      <c r="G134" s="525"/>
      <c r="H134" s="525">
        <v>0</v>
      </c>
      <c r="I134" s="410">
        <v>1</v>
      </c>
      <c r="J134" s="411">
        <f>E134/I134</f>
        <v>35</v>
      </c>
      <c r="K134" s="408">
        <v>1</v>
      </c>
      <c r="L134" s="412">
        <f>K134*J134*(1+G134)</f>
        <v>35</v>
      </c>
      <c r="M134" s="1735">
        <f>SUM(L134:L138)</f>
        <v>65</v>
      </c>
      <c r="N134" s="1717" t="s">
        <v>588</v>
      </c>
      <c r="O134" s="1718">
        <f>SUM(M134,N138)</f>
        <v>265</v>
      </c>
    </row>
    <row r="135" spans="3:17" ht="14.25">
      <c r="D135" s="406" t="s">
        <v>804</v>
      </c>
      <c r="E135" s="524">
        <v>10</v>
      </c>
      <c r="F135" s="408" t="s">
        <v>519</v>
      </c>
      <c r="G135" s="525">
        <v>0</v>
      </c>
      <c r="H135" s="525"/>
      <c r="I135" s="410">
        <f>1-H135</f>
        <v>1</v>
      </c>
      <c r="J135" s="411">
        <f>E135/I135</f>
        <v>10</v>
      </c>
      <c r="K135" s="410">
        <v>1</v>
      </c>
      <c r="L135" s="412">
        <f>K135*E135*(1+G135)</f>
        <v>10</v>
      </c>
      <c r="M135" s="1736"/>
      <c r="N135" s="1717"/>
      <c r="O135" s="1718"/>
    </row>
    <row r="136" spans="3:17" ht="14.25">
      <c r="D136" s="406" t="s">
        <v>181</v>
      </c>
      <c r="E136" s="524">
        <v>15</v>
      </c>
      <c r="F136" s="408" t="s">
        <v>591</v>
      </c>
      <c r="G136" s="525"/>
      <c r="H136" s="525"/>
      <c r="I136" s="410">
        <f>1-H136</f>
        <v>1</v>
      </c>
      <c r="J136" s="411">
        <f>E136/I136</f>
        <v>15</v>
      </c>
      <c r="K136" s="408">
        <v>1</v>
      </c>
      <c r="L136" s="412">
        <f>K136*E136*(1+G136)</f>
        <v>15</v>
      </c>
      <c r="M136" s="1736"/>
      <c r="N136" s="1717"/>
      <c r="O136" s="1718"/>
    </row>
    <row r="137" spans="3:17" ht="14.25">
      <c r="D137" s="406" t="s">
        <v>843</v>
      </c>
      <c r="E137" s="524">
        <v>5</v>
      </c>
      <c r="F137" s="408" t="s">
        <v>591</v>
      </c>
      <c r="G137" s="525"/>
      <c r="H137" s="525"/>
      <c r="I137" s="410">
        <f>1-H137</f>
        <v>1</v>
      </c>
      <c r="J137" s="411">
        <f>E137/I137</f>
        <v>5</v>
      </c>
      <c r="K137" s="408">
        <v>1</v>
      </c>
      <c r="L137" s="412">
        <f>K137*E137*(1+G137)</f>
        <v>5</v>
      </c>
      <c r="M137" s="1736"/>
      <c r="N137" s="1717"/>
      <c r="O137" s="1718"/>
    </row>
    <row r="138" spans="3:17" ht="15.75" thickBot="1">
      <c r="D138" s="414"/>
      <c r="E138" s="530"/>
      <c r="F138" s="416"/>
      <c r="G138" s="531"/>
      <c r="H138" s="531"/>
      <c r="I138" s="410">
        <f>1-H138</f>
        <v>1</v>
      </c>
      <c r="J138" s="411">
        <f>E138/I138</f>
        <v>0</v>
      </c>
      <c r="K138" s="416">
        <v>1</v>
      </c>
      <c r="L138" s="412">
        <f>K138*E138*(1+G138)</f>
        <v>0</v>
      </c>
      <c r="M138" s="1737"/>
      <c r="N138" s="532">
        <v>200</v>
      </c>
      <c r="O138" s="1718"/>
    </row>
    <row r="139" spans="3:17" ht="14.25">
      <c r="D139" s="384"/>
      <c r="E139" s="419" t="s">
        <v>595</v>
      </c>
      <c r="F139" s="384"/>
      <c r="G139" s="1719" t="s">
        <v>596</v>
      </c>
      <c r="H139" s="1720"/>
      <c r="K139" s="419" t="s">
        <v>595</v>
      </c>
      <c r="L139" s="384"/>
      <c r="M139" s="384"/>
      <c r="N139" s="419" t="s">
        <v>597</v>
      </c>
      <c r="O139" s="384"/>
      <c r="P139" s="369"/>
      <c r="Q139" s="369"/>
    </row>
    <row r="140" spans="3:17">
      <c r="N140" s="369"/>
      <c r="O140" s="369"/>
      <c r="P140" s="369"/>
      <c r="Q140" s="369"/>
    </row>
    <row r="141" spans="3:17">
      <c r="G141" s="258"/>
      <c r="N141" s="369"/>
      <c r="O141" s="369"/>
      <c r="P141" s="369"/>
      <c r="Q141" s="369"/>
    </row>
    <row r="142" spans="3:17" ht="14.25">
      <c r="G142" s="594"/>
      <c r="N142" s="369"/>
      <c r="O142" s="369"/>
      <c r="P142" s="369"/>
      <c r="Q142" s="369"/>
    </row>
    <row r="143" spans="3:17">
      <c r="I143" s="592"/>
      <c r="N143" s="369"/>
      <c r="O143" s="369"/>
      <c r="P143" s="369"/>
      <c r="Q143" s="369"/>
    </row>
    <row r="144" spans="3:17">
      <c r="H144" s="208"/>
      <c r="I144" s="595"/>
    </row>
    <row r="145" spans="2:15">
      <c r="H145" s="208"/>
    </row>
    <row r="146" spans="2:15" ht="15" thickBot="1">
      <c r="M146" t="s">
        <v>448</v>
      </c>
      <c r="N146" s="304">
        <v>150000</v>
      </c>
      <c r="O146" s="352"/>
    </row>
    <row r="147" spans="2:15" ht="14.25">
      <c r="B147" s="40"/>
      <c r="C147" s="285"/>
      <c r="M147" t="s">
        <v>448</v>
      </c>
      <c r="N147" s="305">
        <v>160000</v>
      </c>
      <c r="O147" s="353"/>
    </row>
    <row r="148" spans="2:15" ht="15">
      <c r="B148" s="42"/>
      <c r="C148" s="43"/>
      <c r="M148" t="s">
        <v>449</v>
      </c>
    </row>
    <row r="149" spans="2:15" ht="15">
      <c r="B149" s="44"/>
      <c r="C149" s="573"/>
    </row>
    <row r="150" spans="2:15" ht="15">
      <c r="B150" s="44"/>
      <c r="C150" s="46"/>
      <c r="D150" s="4"/>
    </row>
    <row r="151" spans="2:15">
      <c r="B151" s="47"/>
      <c r="C151" s="48"/>
    </row>
    <row r="152" spans="2:15">
      <c r="B152" s="47"/>
      <c r="C152" s="49"/>
      <c r="D152" s="4"/>
    </row>
    <row r="153" spans="2:15">
      <c r="B153" s="47"/>
      <c r="C153" s="49"/>
      <c r="D153" s="4"/>
    </row>
    <row r="154" spans="2:15">
      <c r="B154" s="47"/>
      <c r="C154" s="49"/>
      <c r="D154" s="4"/>
    </row>
    <row r="155" spans="2:15">
      <c r="B155" s="47"/>
      <c r="C155" s="49"/>
      <c r="D155" s="4"/>
      <c r="E155" s="4"/>
      <c r="F155" s="4"/>
    </row>
    <row r="156" spans="2:15" ht="13.5" thickBot="1">
      <c r="B156" s="50"/>
      <c r="C156" s="51"/>
      <c r="D156" s="4"/>
      <c r="E156" s="4"/>
      <c r="F156" s="4"/>
    </row>
    <row r="158" spans="2:15" ht="15.75">
      <c r="B158" s="570"/>
      <c r="C158" s="571"/>
      <c r="L158" s="579"/>
    </row>
    <row r="159" spans="2:15" ht="14.25">
      <c r="B159" s="570"/>
      <c r="C159" s="491"/>
    </row>
    <row r="160" spans="2:15" ht="14.25">
      <c r="B160" s="570"/>
      <c r="C160" s="572"/>
      <c r="N160" s="580">
        <f>L173</f>
        <v>13000000</v>
      </c>
      <c r="O160" s="208">
        <v>1</v>
      </c>
    </row>
    <row r="161" spans="2:16" ht="14.25">
      <c r="B161" s="570"/>
      <c r="C161" s="572"/>
      <c r="N161" s="580">
        <f>L170</f>
        <v>2000000</v>
      </c>
      <c r="O161" s="581">
        <f>(N161*O160)/N160</f>
        <v>0.15384615384615385</v>
      </c>
    </row>
    <row r="163" spans="2:16">
      <c r="N163" s="580">
        <f>N160</f>
        <v>13000000</v>
      </c>
      <c r="O163" s="208">
        <v>1</v>
      </c>
    </row>
    <row r="164" spans="2:16" ht="14.25">
      <c r="B164" s="570"/>
      <c r="C164" s="574"/>
      <c r="D164" s="574"/>
      <c r="E164" s="574"/>
      <c r="F164" s="574"/>
      <c r="G164" s="574"/>
      <c r="H164" s="574"/>
      <c r="N164" s="582">
        <v>6000000</v>
      </c>
      <c r="O164" s="583">
        <f>(N164*O163)/N163</f>
        <v>0.46153846153846156</v>
      </c>
    </row>
    <row r="165" spans="2:16">
      <c r="C165" s="303"/>
      <c r="D165" s="303"/>
      <c r="E165" s="303"/>
      <c r="F165" s="303"/>
      <c r="G165" s="303"/>
      <c r="H165" s="303"/>
    </row>
    <row r="166" spans="2:16">
      <c r="C166" s="303"/>
      <c r="D166" s="303"/>
      <c r="E166" s="303"/>
      <c r="F166" s="303"/>
      <c r="G166" s="303"/>
      <c r="H166" s="303"/>
      <c r="L166" t="s">
        <v>751</v>
      </c>
      <c r="N166" s="580">
        <f>N160</f>
        <v>13000000</v>
      </c>
      <c r="O166" s="208">
        <v>1</v>
      </c>
    </row>
    <row r="167" spans="2:16" ht="14.25">
      <c r="C167" s="575"/>
      <c r="D167" s="576"/>
      <c r="E167" s="574"/>
      <c r="F167" s="584"/>
      <c r="G167" s="576"/>
      <c r="H167" s="576"/>
      <c r="N167" s="582">
        <v>5000000</v>
      </c>
      <c r="O167" s="585">
        <f>(N167*O166)/N166</f>
        <v>0.38461538461538464</v>
      </c>
    </row>
    <row r="169" spans="2:16" ht="14.25">
      <c r="L169" s="570" t="s">
        <v>752</v>
      </c>
      <c r="N169" s="491"/>
    </row>
    <row r="170" spans="2:16" ht="14.25">
      <c r="B170" s="570"/>
      <c r="C170" s="578"/>
      <c r="L170" s="582">
        <v>2000000</v>
      </c>
      <c r="N170" s="468">
        <v>0.18</v>
      </c>
      <c r="O170" s="586">
        <f>L170/$L$173</f>
        <v>0.15384615384615385</v>
      </c>
      <c r="P170" s="578">
        <f>N170*O170</f>
        <v>2.7692307692307693E-2</v>
      </c>
    </row>
    <row r="171" spans="2:16" ht="14.25">
      <c r="L171" s="582">
        <v>6000000</v>
      </c>
      <c r="N171" s="468">
        <v>0.35</v>
      </c>
      <c r="O171" s="587">
        <f>L171/$L$173</f>
        <v>0.46153846153846156</v>
      </c>
      <c r="P171" s="578">
        <f>N171*O171</f>
        <v>0.16153846153846155</v>
      </c>
    </row>
    <row r="172" spans="2:16" ht="14.25">
      <c r="L172" s="588">
        <v>5000000</v>
      </c>
      <c r="N172" s="589">
        <v>0.3</v>
      </c>
      <c r="O172" s="590">
        <f>L172/$L$173</f>
        <v>0.38461538461538464</v>
      </c>
      <c r="P172" s="578">
        <f>N172*O172</f>
        <v>0.11538461538461539</v>
      </c>
    </row>
    <row r="173" spans="2:16" ht="15">
      <c r="L173" s="582">
        <f>SUM(L170:L172)</f>
        <v>13000000</v>
      </c>
      <c r="N173" s="491"/>
      <c r="P173" s="591">
        <f>SUM(P170:P172)</f>
        <v>0.30461538461538462</v>
      </c>
    </row>
    <row r="174" spans="2:16" ht="14.25">
      <c r="N174" s="491"/>
    </row>
  </sheetData>
  <mergeCells count="20">
    <mergeCell ref="M45:O45"/>
    <mergeCell ref="M48:O48"/>
    <mergeCell ref="M51:N51"/>
    <mergeCell ref="G53:K53"/>
    <mergeCell ref="A2:B12"/>
    <mergeCell ref="M30:N30"/>
    <mergeCell ref="O35:S35"/>
    <mergeCell ref="M41:O41"/>
    <mergeCell ref="M42:O42"/>
    <mergeCell ref="V55:Y55"/>
    <mergeCell ref="M56:N56"/>
    <mergeCell ref="G139:H139"/>
    <mergeCell ref="M64:Q64"/>
    <mergeCell ref="M72:Q72"/>
    <mergeCell ref="J103:M103"/>
    <mergeCell ref="D132:M132"/>
    <mergeCell ref="M134:M138"/>
    <mergeCell ref="N134:N137"/>
    <mergeCell ref="O134:O138"/>
    <mergeCell ref="J61:K61"/>
  </mergeCells>
  <conditionalFormatting sqref="G52:K52">
    <cfRule type="containsText" dxfId="25" priority="1" operator="containsText" text="999">
      <formula>NOT(ISERROR(SEARCH(("999"),(G52))))</formula>
    </cfRule>
  </conditionalFormatting>
  <pageMargins left="0.7" right="0.7" top="0.75" bottom="0.75" header="0.3" footer="0.3"/>
  <pageSetup orientation="portrait" r:id="rId1"/>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346F2-AB38-4C30-BE88-31E51D3FBDCA}">
  <dimension ref="A2:Y174"/>
  <sheetViews>
    <sheetView topLeftCell="C92" workbookViewId="0">
      <selection activeCell="G104" sqref="G104"/>
    </sheetView>
  </sheetViews>
  <sheetFormatPr defaultRowHeight="12.75"/>
  <cols>
    <col min="3" max="3" width="35.42578125" bestFit="1" customWidth="1"/>
    <col min="4" max="4" width="37.28515625" bestFit="1" customWidth="1"/>
    <col min="5" max="5" width="16" bestFit="1" customWidth="1"/>
    <col min="6" max="6" width="17" bestFit="1" customWidth="1"/>
    <col min="7" max="7" width="30.140625" customWidth="1"/>
    <col min="8" max="8" width="18.5703125" customWidth="1"/>
    <col min="9" max="9" width="17.7109375" bestFit="1" customWidth="1"/>
    <col min="10" max="10" width="43.5703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5.140625" bestFit="1" customWidth="1"/>
    <col min="18" max="19" width="12.28515625" bestFit="1" customWidth="1"/>
    <col min="20" max="20" width="12" customWidth="1"/>
    <col min="21" max="21" width="13.42578125" bestFit="1" customWidth="1"/>
    <col min="22" max="22" width="12.85546875" bestFit="1" customWidth="1"/>
    <col min="23" max="23" width="13.42578125" bestFit="1" customWidth="1"/>
    <col min="24" max="24" width="12.42578125"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v>2000000</v>
      </c>
      <c r="N13" s="597" t="s">
        <v>506</v>
      </c>
      <c r="O13" s="351"/>
    </row>
    <row r="14" spans="1:15">
      <c r="M14" s="596">
        <f>M13/1.21</f>
        <v>1652892.561983471</v>
      </c>
      <c r="N14" s="597" t="s">
        <v>507</v>
      </c>
      <c r="O14" s="351"/>
    </row>
    <row r="15" spans="1:15">
      <c r="M15" s="596">
        <f>M14*1.1</f>
        <v>1818181.8181818184</v>
      </c>
      <c r="N15" s="597" t="s">
        <v>764</v>
      </c>
      <c r="O15" s="351"/>
    </row>
    <row r="16" spans="1:15">
      <c r="M16" s="598">
        <f>-(M14) *0.05</f>
        <v>-82644.628099173555</v>
      </c>
      <c r="N16" s="597" t="s">
        <v>765</v>
      </c>
    </row>
    <row r="19" spans="13:23" ht="13.5" thickBot="1"/>
    <row r="20" spans="13:23">
      <c r="M20" s="356"/>
      <c r="N20" s="357"/>
      <c r="O20" s="357"/>
      <c r="P20" s="357"/>
      <c r="Q20" s="357"/>
      <c r="R20" s="215"/>
    </row>
    <row r="21" spans="13:23">
      <c r="M21" s="218"/>
      <c r="N21" s="351"/>
      <c r="O21" s="351"/>
      <c r="P21" s="351"/>
      <c r="R21" s="358"/>
    </row>
    <row r="22" spans="13:23">
      <c r="M22" s="359"/>
      <c r="O22" s="351"/>
      <c r="P22" s="208"/>
      <c r="R22" s="360"/>
    </row>
    <row r="23" spans="13:23">
      <c r="M23" s="359"/>
      <c r="O23" s="351"/>
      <c r="P23" s="208"/>
      <c r="R23" s="217"/>
    </row>
    <row r="24" spans="13:23">
      <c r="M24" s="359"/>
      <c r="N24" s="351"/>
      <c r="O24" s="351"/>
      <c r="P24" s="208"/>
      <c r="R24" s="217"/>
    </row>
    <row r="25" spans="13:23">
      <c r="M25" s="359"/>
      <c r="N25" s="351"/>
      <c r="O25" s="351"/>
      <c r="P25" s="208"/>
      <c r="R25" s="217"/>
    </row>
    <row r="26" spans="13:23">
      <c r="M26" s="359"/>
      <c r="P26" s="208"/>
      <c r="R26" s="217"/>
    </row>
    <row r="27" spans="13:23">
      <c r="M27" s="359"/>
      <c r="P27" s="208"/>
      <c r="R27" s="217"/>
    </row>
    <row r="28" spans="13:23">
      <c r="M28" s="359"/>
      <c r="R28" s="217"/>
    </row>
    <row r="29" spans="13:23" ht="13.5" thickBot="1">
      <c r="M29" s="361"/>
      <c r="N29" s="362"/>
      <c r="O29" s="362"/>
      <c r="P29" s="362"/>
      <c r="Q29" s="362"/>
      <c r="R29" s="363"/>
    </row>
    <row r="30" spans="13:23">
      <c r="M30" s="1752"/>
      <c r="N30" s="1753"/>
      <c r="Q30" s="351"/>
      <c r="R30" s="217"/>
      <c r="S30" s="381"/>
      <c r="T30" s="382"/>
      <c r="U30" s="382"/>
      <c r="V30" s="382"/>
      <c r="W30" s="382"/>
    </row>
    <row r="31" spans="13:23">
      <c r="M31" s="354"/>
      <c r="N31" s="354"/>
      <c r="Q31" s="351"/>
      <c r="R31" s="261"/>
    </row>
    <row r="32" spans="13:23">
      <c r="M32" s="355"/>
      <c r="N32" s="355"/>
      <c r="Q32" s="351"/>
      <c r="R32" s="365"/>
      <c r="S32" s="254"/>
      <c r="T32" s="351"/>
    </row>
    <row r="34" spans="13:23">
      <c r="M34" s="351"/>
    </row>
    <row r="35" spans="13:23">
      <c r="O35" s="1751"/>
      <c r="P35" s="1613"/>
      <c r="Q35" s="1613"/>
      <c r="R35" s="1613"/>
      <c r="S35" s="1614"/>
    </row>
    <row r="36" spans="13:23">
      <c r="O36" s="354"/>
      <c r="P36" s="354"/>
      <c r="Q36" s="354"/>
      <c r="R36" s="354"/>
      <c r="S36" s="354"/>
    </row>
    <row r="37" spans="13:23">
      <c r="O37" s="355"/>
      <c r="P37" s="355"/>
      <c r="Q37" s="355"/>
      <c r="R37" s="355"/>
      <c r="S37" s="355"/>
    </row>
    <row r="41" spans="13:23">
      <c r="M41" s="1751"/>
      <c r="N41" s="1754"/>
      <c r="O41" s="1754"/>
      <c r="P41" s="300"/>
      <c r="Q41" s="300"/>
      <c r="R41" s="300"/>
      <c r="S41" s="300"/>
      <c r="T41" s="300"/>
      <c r="U41" s="301"/>
    </row>
    <row r="42" spans="13:23">
      <c r="M42" s="1751"/>
      <c r="N42" s="1613"/>
      <c r="O42" s="1614"/>
    </row>
    <row r="43" spans="13:23">
      <c r="M43" s="354"/>
      <c r="N43" s="354"/>
      <c r="O43" s="354"/>
    </row>
    <row r="44" spans="13:23">
      <c r="M44" s="367"/>
      <c r="N44" s="355"/>
      <c r="O44" s="355"/>
    </row>
    <row r="45" spans="13:23">
      <c r="M45" s="1751"/>
      <c r="N45" s="1613"/>
      <c r="O45" s="1614"/>
    </row>
    <row r="46" spans="13:23" ht="14.25">
      <c r="M46" s="354"/>
      <c r="N46" s="354"/>
      <c r="O46" s="354"/>
      <c r="U46" s="4"/>
      <c r="V46" s="547"/>
      <c r="W46" s="548"/>
    </row>
    <row r="47" spans="13:23">
      <c r="M47" s="367"/>
      <c r="N47" s="355"/>
      <c r="O47" s="355"/>
      <c r="U47" s="4"/>
      <c r="V47" s="4"/>
    </row>
    <row r="48" spans="13:23">
      <c r="M48" s="1751"/>
      <c r="N48" s="1613"/>
      <c r="O48" s="1614"/>
      <c r="U48" s="4"/>
      <c r="V48" s="3"/>
    </row>
    <row r="49" spans="4:25">
      <c r="M49" s="354"/>
      <c r="N49" s="354"/>
      <c r="O49" s="354"/>
      <c r="U49" s="4"/>
      <c r="V49" s="4"/>
    </row>
    <row r="50" spans="4:25">
      <c r="M50" s="367"/>
      <c r="N50" s="355"/>
      <c r="O50" s="355"/>
      <c r="U50" s="4"/>
      <c r="V50" s="4"/>
    </row>
    <row r="51" spans="4:25">
      <c r="M51" s="1751"/>
      <c r="N51" s="1614"/>
      <c r="U51" s="4"/>
      <c r="V51" s="4"/>
    </row>
    <row r="52" spans="4:25" ht="13.5" thickBot="1">
      <c r="G52" s="600" t="s">
        <v>788</v>
      </c>
      <c r="H52" s="600"/>
      <c r="I52" s="600"/>
      <c r="J52" s="600"/>
      <c r="K52" s="600"/>
      <c r="M52" s="354"/>
      <c r="N52" s="354"/>
      <c r="U52" s="4"/>
      <c r="V52" s="549"/>
    </row>
    <row r="53" spans="4:25" ht="15.75" thickBot="1">
      <c r="G53" s="1775" t="s">
        <v>789</v>
      </c>
      <c r="H53" s="1776"/>
      <c r="I53" s="1776"/>
      <c r="J53" s="1776"/>
      <c r="K53" s="1777"/>
      <c r="M53" s="355"/>
      <c r="N53" s="355"/>
      <c r="O53" s="366"/>
      <c r="P53" s="364"/>
    </row>
    <row r="54" spans="4:25" ht="15.75" thickBot="1">
      <c r="G54" s="601" t="s">
        <v>105</v>
      </c>
      <c r="H54" s="602" t="s">
        <v>220</v>
      </c>
      <c r="I54" s="603" t="s">
        <v>790</v>
      </c>
      <c r="J54" s="603" t="s">
        <v>791</v>
      </c>
      <c r="K54" s="604" t="s">
        <v>792</v>
      </c>
    </row>
    <row r="55" spans="4:25" ht="15">
      <c r="G55" s="605" t="s">
        <v>451</v>
      </c>
      <c r="H55" s="606">
        <v>150</v>
      </c>
      <c r="I55" s="607">
        <v>4500000</v>
      </c>
      <c r="J55" s="608">
        <v>800000</v>
      </c>
      <c r="K55" s="609">
        <f>I55*K62+J55*K63</f>
        <v>175000</v>
      </c>
      <c r="U55" s="550"/>
      <c r="V55" s="1748"/>
      <c r="W55" s="1749"/>
      <c r="X55" s="1749"/>
      <c r="Y55" s="1750"/>
    </row>
    <row r="56" spans="4:25" ht="15">
      <c r="G56" s="610" t="s">
        <v>632</v>
      </c>
      <c r="H56" s="611">
        <v>155</v>
      </c>
      <c r="I56" s="612">
        <v>4600000</v>
      </c>
      <c r="J56" s="613">
        <v>800000</v>
      </c>
      <c r="K56" s="614">
        <f>I56*K62+J56*K63+(H56-H55)*K64</f>
        <v>177500</v>
      </c>
      <c r="M56" s="1635" t="s">
        <v>547</v>
      </c>
      <c r="N56" s="1635"/>
      <c r="U56" s="551"/>
      <c r="V56" s="552"/>
      <c r="W56" s="552"/>
      <c r="X56" s="552"/>
      <c r="Y56" s="553"/>
    </row>
    <row r="57" spans="4:25" ht="15">
      <c r="G57" s="610" t="s">
        <v>793</v>
      </c>
      <c r="H57" s="611">
        <v>160</v>
      </c>
      <c r="I57" s="612">
        <v>4750000</v>
      </c>
      <c r="J57" s="613">
        <v>600000</v>
      </c>
      <c r="K57" s="614">
        <f>I57*K62+J57*K63+(H57-H56)*K64</f>
        <v>172000</v>
      </c>
      <c r="N57" s="259" t="s">
        <v>0</v>
      </c>
      <c r="U57" s="554"/>
      <c r="V57" s="555"/>
      <c r="W57" s="556"/>
      <c r="X57" s="555"/>
      <c r="Y57" s="557"/>
    </row>
    <row r="58" spans="4:25" ht="15">
      <c r="G58" s="610" t="s">
        <v>794</v>
      </c>
      <c r="H58" s="611">
        <v>160</v>
      </c>
      <c r="I58" s="612">
        <v>4750000</v>
      </c>
      <c r="J58" s="613">
        <v>600000</v>
      </c>
      <c r="K58" s="614">
        <f>I58*K62+J58*K63+(H58-H57)*K64</f>
        <v>172500</v>
      </c>
      <c r="M58" s="21"/>
      <c r="N58" s="260">
        <v>0.1</v>
      </c>
      <c r="O58" s="261" t="s">
        <v>3</v>
      </c>
      <c r="P58" s="261" t="s">
        <v>3</v>
      </c>
      <c r="U58" s="554"/>
      <c r="V58" s="558"/>
      <c r="W58" s="556"/>
      <c r="X58" s="555"/>
      <c r="Y58" s="557"/>
    </row>
    <row r="59" spans="4:25" ht="15.75" thickBot="1">
      <c r="G59" s="615" t="s">
        <v>795</v>
      </c>
      <c r="H59" s="616">
        <v>170</v>
      </c>
      <c r="I59" s="617">
        <v>4900000</v>
      </c>
      <c r="J59" s="618">
        <v>500000</v>
      </c>
      <c r="K59" s="619">
        <f>I59*K62+J59*K63+(H59-H58)*K64</f>
        <v>171000</v>
      </c>
      <c r="M59" s="21"/>
      <c r="N59" s="23" t="s">
        <v>3</v>
      </c>
      <c r="O59" s="261">
        <f>(1+N58/6)^6</f>
        <v>1.1042604244041494</v>
      </c>
      <c r="P59" s="266">
        <f>O59-1</f>
        <v>0.1042604244041494</v>
      </c>
      <c r="U59" s="559"/>
      <c r="V59" s="560"/>
      <c r="W59" s="556"/>
      <c r="X59" s="561"/>
      <c r="Y59" s="557"/>
    </row>
    <row r="60" spans="4:25" ht="13.5" thickBot="1">
      <c r="M60" s="21"/>
      <c r="N60" s="23"/>
    </row>
    <row r="61" spans="4:25" ht="15">
      <c r="G61" s="620" t="s">
        <v>796</v>
      </c>
      <c r="J61" s="1771" t="s">
        <v>797</v>
      </c>
      <c r="K61" s="1772"/>
      <c r="M61" s="21"/>
      <c r="N61" s="39"/>
    </row>
    <row r="62" spans="4:25" ht="14.25">
      <c r="J62" s="621" t="s">
        <v>798</v>
      </c>
      <c r="K62" s="622">
        <v>0.03</v>
      </c>
      <c r="M62" s="21"/>
      <c r="N62" s="23"/>
    </row>
    <row r="63" spans="4:25" ht="14.25">
      <c r="D63" s="382" t="s">
        <v>812</v>
      </c>
      <c r="E63" s="382"/>
      <c r="F63" s="382"/>
      <c r="G63" s="382"/>
      <c r="H63" s="351" t="s">
        <v>850</v>
      </c>
      <c r="J63" s="621" t="s">
        <v>799</v>
      </c>
      <c r="K63" s="622">
        <v>0.05</v>
      </c>
    </row>
    <row r="64" spans="4:25" ht="39" thickBot="1">
      <c r="D64" s="382" t="s">
        <v>813</v>
      </c>
      <c r="E64" s="382"/>
      <c r="F64" s="382"/>
      <c r="G64" s="382"/>
      <c r="H64" s="667" t="s">
        <v>846</v>
      </c>
      <c r="J64" s="623" t="s">
        <v>800</v>
      </c>
      <c r="K64" s="624">
        <v>-100</v>
      </c>
      <c r="M64" s="1615" t="s">
        <v>103</v>
      </c>
      <c r="N64" s="1613"/>
      <c r="O64" s="1613"/>
      <c r="P64" s="1613"/>
      <c r="Q64" s="1614"/>
      <c r="S64" s="351"/>
    </row>
    <row r="65" spans="3:22">
      <c r="D65" s="382" t="s">
        <v>814</v>
      </c>
      <c r="E65" s="382"/>
      <c r="F65" s="382"/>
      <c r="G65" s="382"/>
      <c r="H65" s="351" t="s">
        <v>848</v>
      </c>
      <c r="M65" s="24" t="s">
        <v>105</v>
      </c>
      <c r="N65" s="24" t="s">
        <v>106</v>
      </c>
      <c r="O65" s="24" t="s">
        <v>102</v>
      </c>
      <c r="P65" s="24" t="s">
        <v>134</v>
      </c>
      <c r="Q65" s="24" t="s">
        <v>107</v>
      </c>
    </row>
    <row r="66" spans="3:22">
      <c r="D66" s="382" t="s">
        <v>815</v>
      </c>
      <c r="E66" s="382"/>
      <c r="F66" s="382"/>
      <c r="G66" s="382"/>
      <c r="H66" s="351" t="s">
        <v>849</v>
      </c>
      <c r="M66" s="25"/>
      <c r="N66" s="26"/>
      <c r="O66" s="26"/>
      <c r="P66" s="26"/>
      <c r="Q66" s="26">
        <f>D119</f>
        <v>2042727.2727272727</v>
      </c>
    </row>
    <row r="67" spans="3:22">
      <c r="D67" s="382" t="s">
        <v>816</v>
      </c>
      <c r="E67" s="382"/>
      <c r="F67" s="382"/>
      <c r="G67" s="382"/>
      <c r="M67" s="25">
        <v>1</v>
      </c>
      <c r="N67" s="26">
        <f>P59*Q66/(1-(1+P59)^-3)</f>
        <v>827578.93858927838</v>
      </c>
      <c r="O67" s="26">
        <f>Q66*P59</f>
        <v>212975.61239647609</v>
      </c>
      <c r="P67" s="26">
        <f>N67-O67</f>
        <v>614603.32619280228</v>
      </c>
      <c r="Q67" s="26">
        <f>Q66-P67</f>
        <v>1428123.9465344704</v>
      </c>
    </row>
    <row r="68" spans="3:22">
      <c r="M68" s="25">
        <v>2</v>
      </c>
      <c r="N68" s="26">
        <f>P59*Q66/(1-(1+P59)^-3)</f>
        <v>827578.93858927838</v>
      </c>
      <c r="O68" s="26">
        <f>Q67*P59</f>
        <v>148896.80876741264</v>
      </c>
      <c r="P68" s="26">
        <f>N68-O68</f>
        <v>678682.1298218657</v>
      </c>
      <c r="Q68" s="26">
        <f>Q67-P68</f>
        <v>749441.81671260472</v>
      </c>
    </row>
    <row r="69" spans="3:22">
      <c r="M69" s="25">
        <v>3</v>
      </c>
      <c r="N69" s="26">
        <f>P59*Q66/(1-(1+P59)^-3)</f>
        <v>827578.93858927838</v>
      </c>
      <c r="O69" s="26">
        <f>P59*Q68</f>
        <v>78137.121876672914</v>
      </c>
      <c r="P69" s="26">
        <f>N69-O69</f>
        <v>749441.81671260542</v>
      </c>
      <c r="Q69" s="26">
        <f>Q68-P69</f>
        <v>0</v>
      </c>
    </row>
    <row r="70" spans="3:22">
      <c r="M70" s="25"/>
      <c r="N70" s="26"/>
      <c r="O70" s="26"/>
      <c r="P70" s="26"/>
      <c r="Q70" s="26"/>
    </row>
    <row r="71" spans="3:22">
      <c r="G71" s="351" t="s">
        <v>847</v>
      </c>
      <c r="M71" s="25"/>
      <c r="N71" s="26"/>
      <c r="O71" s="26"/>
      <c r="P71" s="26"/>
      <c r="Q71" s="26"/>
    </row>
    <row r="72" spans="3:22">
      <c r="M72" s="1615"/>
      <c r="N72" s="1613"/>
      <c r="O72" s="1613"/>
      <c r="P72" s="1613"/>
      <c r="Q72" s="1613"/>
    </row>
    <row r="73" spans="3:22">
      <c r="M73" s="24"/>
      <c r="N73" s="24"/>
      <c r="O73" s="24"/>
      <c r="P73" s="24"/>
      <c r="Q73" s="212"/>
    </row>
    <row r="74" spans="3:22" ht="13.5" customHeight="1">
      <c r="M74" s="25"/>
      <c r="N74" s="26"/>
      <c r="O74" s="26"/>
      <c r="P74" s="26"/>
      <c r="Q74" s="26"/>
    </row>
    <row r="75" spans="3:22">
      <c r="M75" s="25"/>
      <c r="N75" s="26"/>
      <c r="O75" s="26"/>
      <c r="P75" s="26"/>
      <c r="Q75" s="211"/>
    </row>
    <row r="76" spans="3:22">
      <c r="M76" s="25"/>
      <c r="N76" s="26"/>
      <c r="O76" s="26"/>
      <c r="P76" s="26"/>
      <c r="Q76" s="211"/>
    </row>
    <row r="77" spans="3:22">
      <c r="H77" s="254"/>
      <c r="M77" s="25"/>
      <c r="N77" s="26"/>
      <c r="O77" s="26"/>
      <c r="P77" s="26"/>
      <c r="Q77" s="211"/>
    </row>
    <row r="79" spans="3:22">
      <c r="C79" s="272" t="s">
        <v>365</v>
      </c>
      <c r="D79" s="25"/>
      <c r="E79" s="625">
        <f>K55</f>
        <v>175000</v>
      </c>
      <c r="F79" s="625">
        <f>K56</f>
        <v>177500</v>
      </c>
      <c r="G79" s="625">
        <f>K57</f>
        <v>172000</v>
      </c>
      <c r="H79" s="625">
        <f>K58</f>
        <v>172500</v>
      </c>
      <c r="I79" s="625">
        <f>K59</f>
        <v>171000</v>
      </c>
      <c r="P79" s="272"/>
      <c r="Q79" s="25"/>
      <c r="R79" s="25"/>
      <c r="S79" s="25"/>
      <c r="T79" s="25"/>
      <c r="U79" s="25"/>
      <c r="V79" s="25"/>
    </row>
    <row r="80" spans="3:22">
      <c r="C80" s="27" t="s">
        <v>361</v>
      </c>
      <c r="D80" s="27" t="s">
        <v>112</v>
      </c>
      <c r="E80" s="27" t="s">
        <v>113</v>
      </c>
      <c r="F80" s="27" t="s">
        <v>114</v>
      </c>
      <c r="G80" s="27" t="s">
        <v>115</v>
      </c>
      <c r="H80" s="27" t="s">
        <v>116</v>
      </c>
      <c r="I80" s="27" t="s">
        <v>117</v>
      </c>
      <c r="P80" s="27"/>
      <c r="Q80" s="27"/>
      <c r="R80" s="27"/>
      <c r="S80" s="27"/>
      <c r="T80" s="27"/>
      <c r="U80" s="27"/>
      <c r="V80" s="27"/>
    </row>
    <row r="81" spans="3:22">
      <c r="C81" s="269" t="s">
        <v>118</v>
      </c>
      <c r="D81" s="270"/>
      <c r="E81" s="270"/>
      <c r="F81" s="270"/>
      <c r="G81" s="270"/>
      <c r="H81" s="270"/>
      <c r="I81" s="270"/>
      <c r="P81" s="269"/>
      <c r="Q81" s="270"/>
      <c r="R81" s="270"/>
      <c r="S81" s="270"/>
      <c r="T81" s="270"/>
      <c r="U81" s="270"/>
      <c r="V81" s="270"/>
    </row>
    <row r="82" spans="3:22">
      <c r="C82" s="25" t="s">
        <v>356</v>
      </c>
      <c r="D82" s="26"/>
      <c r="E82" s="26">
        <f>H55*E79</f>
        <v>26250000</v>
      </c>
      <c r="F82" s="26">
        <f>H56*F79</f>
        <v>27512500</v>
      </c>
      <c r="G82" s="26">
        <f>H57*G79</f>
        <v>27520000</v>
      </c>
      <c r="H82" s="26">
        <f>H58*H79</f>
        <v>27600000</v>
      </c>
      <c r="I82" s="26">
        <f>H59*I79</f>
        <v>29070000</v>
      </c>
      <c r="P82" s="25"/>
      <c r="Q82" s="26"/>
      <c r="R82" s="26"/>
      <c r="S82" s="26"/>
      <c r="T82" s="26"/>
      <c r="U82" s="26"/>
      <c r="V82" s="26"/>
    </row>
    <row r="83" spans="3:22">
      <c r="C83" s="25" t="s">
        <v>119</v>
      </c>
      <c r="D83" s="26"/>
      <c r="E83" s="26"/>
      <c r="F83" s="26"/>
      <c r="G83" s="26"/>
      <c r="H83" s="26"/>
      <c r="I83" s="26"/>
      <c r="P83" s="25"/>
      <c r="Q83" s="26"/>
      <c r="R83" s="26"/>
      <c r="S83" s="26"/>
      <c r="T83" s="26"/>
      <c r="U83" s="26"/>
      <c r="V83" s="26"/>
    </row>
    <row r="84" spans="3:22">
      <c r="C84" s="25" t="s">
        <v>771</v>
      </c>
      <c r="D84" s="26"/>
      <c r="E84" s="26"/>
      <c r="F84" s="26"/>
      <c r="G84" s="26"/>
      <c r="H84" s="26"/>
      <c r="I84" s="26">
        <f>M14*1*0.5</f>
        <v>826446.28099173552</v>
      </c>
      <c r="J84" t="s">
        <v>763</v>
      </c>
      <c r="P84" s="25"/>
      <c r="Q84" s="26"/>
      <c r="R84" s="26"/>
      <c r="S84" s="26"/>
      <c r="T84" s="26"/>
      <c r="U84" s="26"/>
      <c r="V84" s="26"/>
    </row>
    <row r="85" spans="3:22">
      <c r="C85" s="25" t="s">
        <v>783</v>
      </c>
      <c r="D85" s="26"/>
      <c r="E85" s="26"/>
      <c r="F85" s="26"/>
      <c r="G85" s="26"/>
      <c r="H85" s="26"/>
      <c r="I85" s="280">
        <f>D121*-1*0.6*0.3</f>
        <v>180000</v>
      </c>
      <c r="J85" t="s">
        <v>770</v>
      </c>
      <c r="P85" s="25"/>
      <c r="Q85" s="26"/>
      <c r="R85" s="26"/>
      <c r="S85" s="26"/>
      <c r="T85" s="26"/>
      <c r="U85" s="26"/>
      <c r="V85" s="280"/>
    </row>
    <row r="86" spans="3:22">
      <c r="C86" s="25" t="s">
        <v>784</v>
      </c>
      <c r="D86" s="26"/>
      <c r="E86" s="26"/>
      <c r="F86" s="26"/>
      <c r="G86" s="26">
        <f>D121*0.4*0.6*-1</f>
        <v>240000</v>
      </c>
      <c r="H86" s="26"/>
      <c r="I86" s="280"/>
      <c r="P86" s="25"/>
      <c r="Q86" s="26"/>
      <c r="R86" s="26"/>
      <c r="S86" s="26"/>
      <c r="T86" s="26"/>
      <c r="U86" s="26"/>
      <c r="V86" s="280"/>
    </row>
    <row r="87" spans="3:22">
      <c r="C87" s="25" t="s">
        <v>774</v>
      </c>
      <c r="D87" s="26"/>
      <c r="E87" s="26"/>
      <c r="F87" s="26"/>
      <c r="G87" s="26"/>
      <c r="H87" s="26"/>
      <c r="I87" s="280">
        <f>G122*0.3*-1</f>
        <v>75000</v>
      </c>
      <c r="J87" s="382" t="s">
        <v>775</v>
      </c>
      <c r="P87" s="25"/>
      <c r="Q87" s="26"/>
      <c r="R87" s="26"/>
      <c r="S87" s="26"/>
      <c r="T87" s="26"/>
      <c r="U87" s="26"/>
      <c r="V87" s="280"/>
    </row>
    <row r="88" spans="3:22">
      <c r="C88" s="269" t="s">
        <v>121</v>
      </c>
      <c r="D88" s="270"/>
      <c r="E88" s="270"/>
      <c r="F88" s="270"/>
      <c r="G88" s="270"/>
      <c r="H88" s="270"/>
      <c r="I88" s="270"/>
      <c r="P88" s="269"/>
      <c r="Q88" s="270"/>
      <c r="R88" s="270"/>
      <c r="S88" s="270"/>
      <c r="T88" s="270"/>
      <c r="U88" s="270"/>
      <c r="V88" s="270"/>
    </row>
    <row r="89" spans="3:22">
      <c r="C89" s="25" t="s">
        <v>122</v>
      </c>
      <c r="D89" s="26"/>
      <c r="E89" s="26">
        <f>O67*-1</f>
        <v>-212975.61239647609</v>
      </c>
      <c r="F89" s="26">
        <f>O68*-1</f>
        <v>-148896.80876741264</v>
      </c>
      <c r="G89" s="26">
        <f>O69*-1</f>
        <v>-78137.121876672914</v>
      </c>
      <c r="H89" s="26"/>
      <c r="I89" s="26"/>
      <c r="P89" s="25"/>
      <c r="Q89" s="26"/>
      <c r="R89" s="26"/>
      <c r="S89" s="26"/>
      <c r="T89" s="26"/>
      <c r="U89" s="26"/>
      <c r="V89" s="26"/>
    </row>
    <row r="90" spans="3:22">
      <c r="C90" s="47" t="s">
        <v>801</v>
      </c>
      <c r="D90" s="26"/>
      <c r="E90" s="26">
        <v>-1000000</v>
      </c>
      <c r="F90" s="26">
        <v>-1000000</v>
      </c>
      <c r="G90" s="26">
        <v>-1000000</v>
      </c>
      <c r="H90" s="26">
        <v>-1000000</v>
      </c>
      <c r="I90" s="26">
        <v>-1000000</v>
      </c>
      <c r="K90" t="s">
        <v>776</v>
      </c>
      <c r="P90" s="47"/>
      <c r="Q90" s="26"/>
      <c r="R90" s="26"/>
      <c r="S90" s="26"/>
      <c r="T90" s="26"/>
      <c r="U90" s="26"/>
      <c r="V90" s="26"/>
    </row>
    <row r="91" spans="3:22">
      <c r="C91" s="631" t="s">
        <v>811</v>
      </c>
      <c r="D91" s="26"/>
      <c r="E91" s="26">
        <f>-E82*0.015</f>
        <v>-393750</v>
      </c>
      <c r="F91" s="26">
        <f>-F82*0.015</f>
        <v>-412687.5</v>
      </c>
      <c r="G91" s="26">
        <f>-G82*0.015</f>
        <v>-412800</v>
      </c>
      <c r="H91" s="26">
        <f>-H82*0.015</f>
        <v>-414000</v>
      </c>
      <c r="I91" s="26">
        <f>-I82*0.015</f>
        <v>-436050</v>
      </c>
      <c r="P91" s="47"/>
      <c r="Q91" s="26"/>
      <c r="R91" s="26"/>
      <c r="S91" s="26"/>
      <c r="T91" s="26"/>
      <c r="U91" s="26"/>
      <c r="V91" s="26"/>
    </row>
    <row r="92" spans="3:22">
      <c r="C92" s="632">
        <v>0.05</v>
      </c>
      <c r="D92" s="26"/>
      <c r="E92" s="26">
        <f>-E82*0.05</f>
        <v>-1312500</v>
      </c>
      <c r="F92" s="26">
        <f>-F82*0.05</f>
        <v>-1375625</v>
      </c>
      <c r="G92" s="26">
        <f>-G82*0.05</f>
        <v>-1376000</v>
      </c>
      <c r="H92" s="26">
        <f>-H82*0.05</f>
        <v>-1380000</v>
      </c>
      <c r="I92" s="26">
        <f>-I82*0.05</f>
        <v>-1453500</v>
      </c>
      <c r="P92" s="47"/>
      <c r="Q92" s="26"/>
      <c r="R92" s="26"/>
      <c r="S92" s="26"/>
      <c r="T92" s="26"/>
      <c r="U92" s="26"/>
      <c r="V92" s="26"/>
    </row>
    <row r="93" spans="3:22">
      <c r="C93" s="47" t="s">
        <v>802</v>
      </c>
      <c r="D93" s="26"/>
      <c r="E93" s="26">
        <f>(E82+E91+E92)*0.02*-1</f>
        <v>-490875</v>
      </c>
      <c r="F93" s="26">
        <f>(F82+F91+F92)*0.02*-1</f>
        <v>-514483.75</v>
      </c>
      <c r="G93" s="26">
        <f>(G82+G91+G92)*0.02*-1</f>
        <v>-514624</v>
      </c>
      <c r="H93" s="26">
        <f>(H82+H91+H92)*0.02*-1</f>
        <v>-516120</v>
      </c>
      <c r="I93" s="26">
        <f>(I82+I91+I92)*0.02*-1</f>
        <v>-543609</v>
      </c>
      <c r="K93">
        <f>125000/(1+0.7)^3</f>
        <v>25442.703032770205</v>
      </c>
      <c r="P93" s="47"/>
      <c r="Q93" s="26"/>
      <c r="R93" s="26"/>
      <c r="S93" s="26"/>
      <c r="T93" s="26"/>
      <c r="U93" s="26"/>
      <c r="V93" s="26"/>
    </row>
    <row r="94" spans="3:22" ht="15.75" customHeight="1">
      <c r="C94" s="287" t="s">
        <v>803</v>
      </c>
      <c r="D94" s="26"/>
      <c r="E94" s="26">
        <f>-500000</f>
        <v>-500000</v>
      </c>
      <c r="F94" s="26">
        <f>-500000</f>
        <v>-500000</v>
      </c>
      <c r="G94" s="26">
        <f>-500000</f>
        <v>-500000</v>
      </c>
      <c r="H94" s="26">
        <f>-500000</f>
        <v>-500000</v>
      </c>
      <c r="I94" s="26">
        <f>-500000</f>
        <v>-500000</v>
      </c>
      <c r="K94" t="s">
        <v>777</v>
      </c>
      <c r="P94" s="287"/>
      <c r="Q94" s="26"/>
      <c r="R94" s="26"/>
      <c r="S94" s="26"/>
      <c r="T94" s="26"/>
      <c r="U94" s="26"/>
      <c r="V94" s="26"/>
    </row>
    <row r="95" spans="3:22" ht="15.75" customHeight="1">
      <c r="C95" s="199" t="s">
        <v>844</v>
      </c>
      <c r="D95" s="26"/>
      <c r="E95" s="26">
        <f>E79*$M$134*-1</f>
        <v>-11375000</v>
      </c>
      <c r="F95" s="26">
        <f>F79*$M$134*-1</f>
        <v>-11537500</v>
      </c>
      <c r="G95" s="26">
        <f>G79*$M$134*-1</f>
        <v>-11180000</v>
      </c>
      <c r="H95" s="26">
        <f>H79*$M$134*-1</f>
        <v>-11212500</v>
      </c>
      <c r="I95" s="26">
        <f>I79*$M$134*-1</f>
        <v>-11115000</v>
      </c>
      <c r="P95" s="199"/>
      <c r="Q95" s="26"/>
      <c r="R95" s="26"/>
      <c r="S95" s="26"/>
      <c r="T95" s="26"/>
      <c r="U95" s="26"/>
      <c r="V95" s="26"/>
    </row>
    <row r="96" spans="3:22" ht="15.75" customHeight="1">
      <c r="C96" s="199" t="s">
        <v>762</v>
      </c>
      <c r="D96" s="26"/>
      <c r="E96" s="26">
        <f>-75000*12</f>
        <v>-900000</v>
      </c>
      <c r="F96" s="26">
        <f>-75000*12</f>
        <v>-900000</v>
      </c>
      <c r="G96" s="26">
        <f>-75000*12</f>
        <v>-900000</v>
      </c>
      <c r="H96" s="26">
        <f>-75000*12</f>
        <v>-900000</v>
      </c>
      <c r="I96" s="26">
        <f>-75000*12</f>
        <v>-900000</v>
      </c>
      <c r="P96" s="199"/>
      <c r="Q96" s="26"/>
      <c r="R96" s="26"/>
      <c r="S96" s="26"/>
      <c r="T96" s="26"/>
      <c r="U96" s="26"/>
      <c r="V96" s="26"/>
    </row>
    <row r="97" spans="3:22" ht="15.75" customHeight="1">
      <c r="C97" s="199"/>
      <c r="D97" s="26"/>
      <c r="E97" s="26"/>
      <c r="F97" s="26"/>
      <c r="G97" s="26"/>
      <c r="H97" s="26"/>
      <c r="I97" s="26"/>
      <c r="P97" s="199"/>
      <c r="Q97" s="26"/>
      <c r="R97" s="26"/>
      <c r="S97" s="26"/>
      <c r="T97" s="26"/>
      <c r="U97" s="26"/>
      <c r="V97" s="26"/>
    </row>
    <row r="98" spans="3:22" ht="15.75" customHeight="1">
      <c r="C98" s="199" t="s">
        <v>518</v>
      </c>
      <c r="D98" s="26"/>
      <c r="E98" s="26"/>
      <c r="F98" s="26"/>
      <c r="G98" s="26"/>
      <c r="H98" s="26"/>
      <c r="I98" s="26"/>
      <c r="P98" s="199"/>
      <c r="Q98" s="26"/>
      <c r="R98" s="26"/>
      <c r="S98" s="26"/>
      <c r="T98" s="26"/>
      <c r="U98" s="26"/>
      <c r="V98" s="26"/>
    </row>
    <row r="99" spans="3:22" ht="15.75" customHeight="1">
      <c r="C99" s="199" t="s">
        <v>478</v>
      </c>
      <c r="D99" s="26"/>
      <c r="E99" s="26"/>
      <c r="F99" s="26"/>
      <c r="G99" s="26"/>
      <c r="H99" s="26"/>
      <c r="I99" s="26"/>
      <c r="P99" s="199"/>
      <c r="Q99" s="26"/>
      <c r="R99" s="26"/>
      <c r="S99" s="26"/>
      <c r="T99" s="26"/>
      <c r="U99" s="26"/>
      <c r="V99" s="26"/>
    </row>
    <row r="100" spans="3:22" ht="15.75" customHeight="1">
      <c r="C100" s="199" t="s">
        <v>543</v>
      </c>
      <c r="D100" s="26"/>
      <c r="E100" s="26"/>
      <c r="F100" s="26"/>
      <c r="G100" s="26"/>
      <c r="H100" s="26"/>
      <c r="I100" s="26"/>
      <c r="P100" s="199"/>
      <c r="Q100" s="26"/>
      <c r="R100" s="26"/>
      <c r="S100" s="26"/>
      <c r="T100" s="26"/>
      <c r="U100" s="26"/>
      <c r="V100" s="26"/>
    </row>
    <row r="101" spans="3:22" ht="15.75" customHeight="1">
      <c r="C101" s="199" t="s">
        <v>766</v>
      </c>
      <c r="D101" s="26"/>
      <c r="E101" s="26"/>
      <c r="F101" s="26"/>
      <c r="G101" s="26"/>
      <c r="H101" s="26"/>
      <c r="I101" s="26">
        <f>M16</f>
        <v>-82644.628099173555</v>
      </c>
      <c r="P101" s="199"/>
      <c r="Q101" s="26"/>
      <c r="R101" s="26"/>
      <c r="S101" s="26"/>
      <c r="T101" s="26"/>
      <c r="U101" s="26"/>
      <c r="V101" s="26"/>
    </row>
    <row r="102" spans="3:22">
      <c r="C102" s="267" t="s">
        <v>125</v>
      </c>
      <c r="D102" s="268"/>
      <c r="E102" s="268"/>
      <c r="F102" s="268"/>
      <c r="G102" s="268"/>
      <c r="H102" s="268"/>
      <c r="I102" s="268"/>
      <c r="P102" s="267"/>
      <c r="Q102" s="268"/>
      <c r="R102" s="268"/>
      <c r="S102" s="268"/>
      <c r="T102" s="268"/>
      <c r="U102" s="268"/>
      <c r="V102" s="268"/>
    </row>
    <row r="103" spans="3:22">
      <c r="C103" s="25" t="s">
        <v>761</v>
      </c>
      <c r="D103" s="26"/>
      <c r="E103" s="26">
        <f>$D$120/10</f>
        <v>-181818.18181818182</v>
      </c>
      <c r="F103" s="26">
        <f>$D$120/10</f>
        <v>-181818.18181818182</v>
      </c>
      <c r="G103" s="26">
        <f>$D$120/10</f>
        <v>-181818.18181818182</v>
      </c>
      <c r="H103" s="26">
        <f>$D$120/10</f>
        <v>-181818.18181818182</v>
      </c>
      <c r="I103" s="26">
        <f>$D$120/10</f>
        <v>-181818.18181818182</v>
      </c>
      <c r="J103" s="1746"/>
      <c r="K103" s="1747"/>
      <c r="L103" s="1747"/>
      <c r="M103" s="1747"/>
      <c r="P103" s="25"/>
      <c r="Q103" s="26"/>
      <c r="R103" s="26"/>
      <c r="S103" s="26"/>
      <c r="T103" s="26"/>
      <c r="U103" s="26"/>
      <c r="V103" s="26"/>
    </row>
    <row r="104" spans="3:22">
      <c r="C104" s="25" t="s">
        <v>779</v>
      </c>
      <c r="D104" s="26"/>
      <c r="E104" s="26">
        <f>$D$121*0.6/10</f>
        <v>-60000</v>
      </c>
      <c r="F104" s="26">
        <f>$D$121*0.6/10</f>
        <v>-60000</v>
      </c>
      <c r="G104" s="26">
        <f>$D$121*0.6/10</f>
        <v>-60000</v>
      </c>
      <c r="H104" s="26">
        <f>$D$121*0.6/10</f>
        <v>-60000</v>
      </c>
      <c r="I104" s="26">
        <f>$D$121*0.6/10</f>
        <v>-60000</v>
      </c>
      <c r="P104" s="25"/>
      <c r="Q104" s="26"/>
      <c r="R104" s="26"/>
      <c r="S104" s="26"/>
      <c r="T104" s="26"/>
      <c r="U104" s="26"/>
      <c r="V104" s="26"/>
    </row>
    <row r="105" spans="3:22">
      <c r="C105" s="25" t="s">
        <v>780</v>
      </c>
      <c r="D105" s="26"/>
      <c r="E105" s="26">
        <f>$D$121*0.4/10</f>
        <v>-40000</v>
      </c>
      <c r="F105" s="26">
        <f>$D$121*0.4/10</f>
        <v>-40000</v>
      </c>
      <c r="G105" s="26">
        <f>$D$121*0.4/10</f>
        <v>-40000</v>
      </c>
      <c r="H105" s="26"/>
      <c r="I105" s="26"/>
      <c r="P105" s="25"/>
      <c r="Q105" s="26"/>
      <c r="R105" s="26"/>
      <c r="S105" s="26"/>
      <c r="T105" s="26"/>
      <c r="U105" s="26"/>
      <c r="V105" s="26"/>
    </row>
    <row r="106" spans="3:22">
      <c r="C106" s="25" t="s">
        <v>773</v>
      </c>
      <c r="D106" s="26"/>
      <c r="E106" s="26"/>
      <c r="F106" s="26"/>
      <c r="G106" s="26"/>
      <c r="H106" s="26">
        <f>$G$122/10</f>
        <v>-25000</v>
      </c>
      <c r="I106" s="26">
        <f>$G$122/10</f>
        <v>-25000</v>
      </c>
      <c r="P106" s="25"/>
      <c r="Q106" s="26"/>
      <c r="R106" s="26"/>
      <c r="S106" s="26"/>
      <c r="T106" s="26"/>
      <c r="U106" s="26"/>
      <c r="V106" s="26"/>
    </row>
    <row r="107" spans="3:22">
      <c r="C107" s="25" t="s">
        <v>787</v>
      </c>
      <c r="D107" s="26"/>
      <c r="E107" s="26">
        <f>$D$123/3</f>
        <v>-33333.333333333336</v>
      </c>
      <c r="F107" s="26">
        <f>$D$123/3</f>
        <v>-33333.333333333336</v>
      </c>
      <c r="G107" s="26">
        <f>$D$123/3</f>
        <v>-33333.333333333336</v>
      </c>
      <c r="H107" s="26"/>
      <c r="I107" s="118"/>
      <c r="P107" s="25"/>
      <c r="Q107" s="26"/>
      <c r="R107" s="26"/>
      <c r="S107" s="26"/>
      <c r="T107" s="26"/>
      <c r="U107" s="26"/>
      <c r="V107" s="26"/>
    </row>
    <row r="108" spans="3:22">
      <c r="C108" s="25" t="s">
        <v>768</v>
      </c>
      <c r="D108" s="26"/>
      <c r="E108" s="26"/>
      <c r="F108" s="26"/>
      <c r="G108" s="26"/>
      <c r="H108" s="26"/>
      <c r="I108" s="118">
        <f>E103*5</f>
        <v>-909090.90909090918</v>
      </c>
      <c r="P108" s="25"/>
      <c r="Q108" s="26"/>
      <c r="R108" s="26"/>
      <c r="S108" s="26"/>
      <c r="T108" s="26"/>
      <c r="U108" s="26"/>
      <c r="V108" s="26"/>
    </row>
    <row r="109" spans="3:22">
      <c r="C109" s="25" t="s">
        <v>334</v>
      </c>
      <c r="D109" s="26"/>
      <c r="E109" s="26"/>
      <c r="F109" s="26"/>
      <c r="G109" s="26"/>
      <c r="H109" s="211"/>
      <c r="I109" s="599">
        <f>E104*5</f>
        <v>-300000</v>
      </c>
      <c r="J109" t="s">
        <v>769</v>
      </c>
      <c r="P109" s="25"/>
      <c r="Q109" s="26"/>
      <c r="R109" s="26"/>
      <c r="S109" s="26"/>
      <c r="T109" s="26"/>
      <c r="U109" s="26"/>
      <c r="V109" s="26"/>
    </row>
    <row r="110" spans="3:22">
      <c r="C110" s="25" t="s">
        <v>575</v>
      </c>
      <c r="D110" s="26"/>
      <c r="E110" s="26"/>
      <c r="F110" s="26"/>
      <c r="G110" s="26"/>
      <c r="H110" s="26"/>
      <c r="I110" s="103">
        <f>H106*8</f>
        <v>-200000</v>
      </c>
      <c r="P110" s="25"/>
      <c r="Q110" s="26"/>
      <c r="R110" s="26"/>
      <c r="S110" s="26"/>
      <c r="T110" s="26"/>
      <c r="U110" s="26"/>
      <c r="V110" s="26"/>
    </row>
    <row r="111" spans="3:22">
      <c r="C111" s="25" t="s">
        <v>781</v>
      </c>
      <c r="D111" s="26"/>
      <c r="E111" s="26"/>
      <c r="F111" s="26"/>
      <c r="G111" s="26">
        <f>G105*(2+5)</f>
        <v>-280000</v>
      </c>
      <c r="H111" s="26"/>
      <c r="I111" s="103"/>
      <c r="P111" s="25"/>
      <c r="Q111" s="26"/>
      <c r="R111" s="26"/>
      <c r="S111" s="26"/>
      <c r="T111" s="26"/>
      <c r="U111" s="26"/>
      <c r="V111" s="26"/>
    </row>
    <row r="112" spans="3:22">
      <c r="C112" s="25" t="s">
        <v>786</v>
      </c>
      <c r="D112" s="26"/>
      <c r="E112" s="26"/>
      <c r="F112" s="26"/>
      <c r="G112" s="26">
        <v>0</v>
      </c>
      <c r="H112" s="26"/>
      <c r="I112" s="103"/>
      <c r="P112" s="25"/>
      <c r="Q112" s="26"/>
      <c r="R112" s="26"/>
      <c r="S112" s="26"/>
      <c r="T112" s="26"/>
      <c r="U112" s="26"/>
      <c r="V112" s="26"/>
    </row>
    <row r="113" spans="3:23" ht="14.25">
      <c r="C113" s="31" t="s">
        <v>130</v>
      </c>
      <c r="D113" s="32"/>
      <c r="E113" s="32">
        <f>SUM(E81:E109)</f>
        <v>9749747.8724520095</v>
      </c>
      <c r="F113" s="32">
        <f>SUM(F81:F112)</f>
        <v>10808155.426081073</v>
      </c>
      <c r="G113" s="32">
        <f>SUM(G81:G112)</f>
        <v>11203287.362971812</v>
      </c>
      <c r="H113" s="32">
        <f>SUM(H81:H109)</f>
        <v>11410561.818181818</v>
      </c>
      <c r="I113" s="32">
        <f>SUM(I81:I110)</f>
        <v>12444733.561983474</v>
      </c>
      <c r="K113" s="259" t="s">
        <v>782</v>
      </c>
      <c r="L113" s="259"/>
      <c r="M113" s="259"/>
      <c r="P113" s="31"/>
      <c r="Q113" s="32"/>
      <c r="R113" s="32"/>
      <c r="S113" s="32"/>
      <c r="T113" s="32"/>
      <c r="U113" s="32"/>
      <c r="V113" s="32"/>
    </row>
    <row r="114" spans="3:23">
      <c r="C114" s="33" t="s">
        <v>349</v>
      </c>
      <c r="D114" s="26"/>
      <c r="E114" s="26">
        <f>E113*0.35</f>
        <v>3412411.7553582033</v>
      </c>
      <c r="F114" s="26">
        <f>F113*0.35</f>
        <v>3782854.3991283751</v>
      </c>
      <c r="G114" s="26">
        <f>G113*0.35</f>
        <v>3921150.577040134</v>
      </c>
      <c r="H114" s="26">
        <f>H113*0.35</f>
        <v>3993696.6363636362</v>
      </c>
      <c r="I114" s="26">
        <f>I113*0.35</f>
        <v>4355656.7466942156</v>
      </c>
      <c r="K114" s="276">
        <f>G111+I109+G105+F105+E105+E104+F104+G104+H104+I104</f>
        <v>-1000000</v>
      </c>
      <c r="L114" s="259"/>
      <c r="M114" s="259"/>
      <c r="P114" s="33"/>
      <c r="Q114" s="26"/>
      <c r="R114" s="26"/>
      <c r="S114" s="26"/>
      <c r="T114" s="26"/>
      <c r="U114" s="26"/>
      <c r="V114" s="26"/>
    </row>
    <row r="115" spans="3:23" ht="28.5">
      <c r="C115" s="34" t="s">
        <v>132</v>
      </c>
      <c r="D115" s="35"/>
      <c r="E115" s="35">
        <f>E113-E114</f>
        <v>6337336.1170938062</v>
      </c>
      <c r="F115" s="35">
        <f>F113-F114</f>
        <v>7025301.026952697</v>
      </c>
      <c r="G115" s="35">
        <f>G113-G114</f>
        <v>7282136.7859316785</v>
      </c>
      <c r="H115" s="35">
        <f>H113-H114</f>
        <v>7416865.1818181816</v>
      </c>
      <c r="I115" s="35">
        <f>I113-I114</f>
        <v>8089076.815289258</v>
      </c>
      <c r="P115" s="34"/>
      <c r="Q115" s="35"/>
      <c r="R115" s="35"/>
      <c r="S115" s="35"/>
      <c r="T115" s="35"/>
      <c r="U115" s="35"/>
      <c r="V115" s="35"/>
    </row>
    <row r="116" spans="3:23">
      <c r="C116" s="33" t="s">
        <v>133</v>
      </c>
      <c r="D116" s="26"/>
      <c r="E116" s="26">
        <f>SUM(E103:E110)*-1</f>
        <v>315151.51515151514</v>
      </c>
      <c r="F116" s="26">
        <f>SUM(F103:F110)*-1</f>
        <v>315151.51515151514</v>
      </c>
      <c r="G116" s="26">
        <f>SUM(G103:G112)*-1</f>
        <v>595151.51515151514</v>
      </c>
      <c r="H116" s="26">
        <f>SUM(H103:H110)*-1</f>
        <v>266818.18181818182</v>
      </c>
      <c r="I116" s="26">
        <f>SUM(I103:I110)*-1</f>
        <v>1675909.0909090911</v>
      </c>
      <c r="P116" s="33"/>
      <c r="Q116" s="26"/>
      <c r="R116" s="26"/>
      <c r="S116" s="26"/>
      <c r="T116" s="26"/>
      <c r="U116" s="26"/>
      <c r="V116" s="26"/>
    </row>
    <row r="117" spans="3:23" ht="26.25">
      <c r="C117" s="33" t="s">
        <v>712</v>
      </c>
      <c r="D117" s="562">
        <v>-400320.83333333337</v>
      </c>
      <c r="E117">
        <v>-5718.8690476190277</v>
      </c>
      <c r="F117" s="382"/>
      <c r="G117">
        <v>-1143.7738095238117</v>
      </c>
      <c r="H117" s="382"/>
      <c r="I117" s="26"/>
      <c r="P117" s="284"/>
      <c r="Q117" s="26"/>
      <c r="R117" s="26"/>
      <c r="S117" s="26"/>
      <c r="T117" s="26"/>
      <c r="U117" s="26"/>
    </row>
    <row r="118" spans="3:23">
      <c r="C118" s="25" t="s">
        <v>134</v>
      </c>
      <c r="D118" s="26"/>
      <c r="E118" s="26">
        <f>P67*-1</f>
        <v>-614603.32619280228</v>
      </c>
      <c r="F118" s="26">
        <f>P68*-1</f>
        <v>-678682.1298218657</v>
      </c>
      <c r="G118" s="26">
        <f>P69*-1</f>
        <v>-749441.81671260542</v>
      </c>
      <c r="H118" s="26"/>
      <c r="I118" s="26"/>
      <c r="L118">
        <v>-5635.4159226190286</v>
      </c>
      <c r="P118" s="25"/>
      <c r="R118" s="26"/>
      <c r="S118" s="26"/>
      <c r="T118" s="26"/>
      <c r="U118" s="26"/>
      <c r="V118" s="26"/>
    </row>
    <row r="119" spans="3:23">
      <c r="C119" s="25" t="s">
        <v>135</v>
      </c>
      <c r="D119" s="26">
        <f>(D120+D121+D123)*0.7*-1</f>
        <v>2042727.2727272727</v>
      </c>
      <c r="E119" s="26"/>
      <c r="F119" s="26"/>
      <c r="G119" s="26"/>
      <c r="H119" s="26"/>
      <c r="I119" s="26"/>
      <c r="L119">
        <v>12397.915029761889</v>
      </c>
      <c r="P119" s="286"/>
      <c r="R119" s="26"/>
      <c r="S119" s="26"/>
      <c r="T119" s="26"/>
      <c r="U119" s="26"/>
      <c r="V119" s="26"/>
    </row>
    <row r="120" spans="3:23">
      <c r="C120" s="25" t="s">
        <v>767</v>
      </c>
      <c r="D120" s="26">
        <f>-M15</f>
        <v>-1818181.8181818184</v>
      </c>
      <c r="E120" s="26"/>
      <c r="F120" s="26"/>
      <c r="G120" s="26"/>
      <c r="H120" s="118"/>
      <c r="I120" s="26"/>
      <c r="L120">
        <v>-1127.0831845238117</v>
      </c>
      <c r="P120" s="286"/>
      <c r="Q120" s="26"/>
      <c r="V120" s="26"/>
    </row>
    <row r="121" spans="3:23">
      <c r="C121" s="25" t="s">
        <v>778</v>
      </c>
      <c r="D121" s="26">
        <v>-1000000</v>
      </c>
      <c r="E121" s="26"/>
      <c r="F121" s="26"/>
      <c r="G121" s="211"/>
      <c r="H121" s="342"/>
      <c r="I121" s="633"/>
      <c r="L121">
        <v>3381.2495535714093</v>
      </c>
      <c r="P121" s="286"/>
      <c r="Q121" s="26"/>
      <c r="R121" s="26"/>
      <c r="S121" s="26"/>
      <c r="T121" s="26"/>
      <c r="U121" s="26"/>
      <c r="V121" s="26"/>
    </row>
    <row r="122" spans="3:23">
      <c r="C122" s="25" t="s">
        <v>772</v>
      </c>
      <c r="D122" s="26"/>
      <c r="E122" s="26"/>
      <c r="F122" s="26"/>
      <c r="G122" s="211">
        <v>-250000</v>
      </c>
      <c r="H122" s="342"/>
      <c r="I122" s="633"/>
      <c r="P122" s="286"/>
      <c r="Q122" s="26"/>
      <c r="R122" s="26"/>
      <c r="S122" s="26"/>
      <c r="T122" s="26"/>
      <c r="U122" s="26"/>
      <c r="V122" s="26"/>
    </row>
    <row r="123" spans="3:23">
      <c r="C123" s="25" t="s">
        <v>785</v>
      </c>
      <c r="D123" s="26">
        <v>-100000</v>
      </c>
      <c r="E123" s="26"/>
      <c r="F123" s="26"/>
      <c r="G123" s="211"/>
      <c r="H123" s="342"/>
      <c r="I123" s="633"/>
      <c r="P123" s="286"/>
      <c r="Q123" s="26"/>
      <c r="R123" s="26"/>
      <c r="S123" s="26"/>
      <c r="T123" s="26"/>
      <c r="U123" s="26"/>
      <c r="V123" s="26"/>
    </row>
    <row r="124" spans="3:23" ht="23.25">
      <c r="C124" s="286" t="s">
        <v>412</v>
      </c>
      <c r="D124" s="26"/>
      <c r="E124" s="26"/>
      <c r="F124" s="26"/>
      <c r="G124" s="26"/>
      <c r="H124" s="103"/>
      <c r="I124" s="26">
        <f>(D117+E117+G117)*-1</f>
        <v>407183.47619047621</v>
      </c>
      <c r="J124" s="738" t="s">
        <v>856</v>
      </c>
      <c r="K124" s="303"/>
      <c r="P124" s="286"/>
      <c r="Q124" s="26"/>
      <c r="R124" s="26"/>
      <c r="S124" s="26"/>
      <c r="T124" s="26"/>
      <c r="U124" s="26"/>
      <c r="V124" s="26"/>
    </row>
    <row r="125" spans="3:23" ht="25.5">
      <c r="C125" s="37" t="s">
        <v>139</v>
      </c>
      <c r="D125" s="35">
        <f t="shared" ref="D125:I125" si="0">SUM(D115:D124)</f>
        <v>-1275775.3787878789</v>
      </c>
      <c r="E125" s="35">
        <f t="shared" si="0"/>
        <v>6032165.4370048996</v>
      </c>
      <c r="F125" s="35">
        <f t="shared" si="0"/>
        <v>6661770.4122823467</v>
      </c>
      <c r="G125" s="35">
        <f t="shared" si="0"/>
        <v>6876702.7105610641</v>
      </c>
      <c r="H125" s="35">
        <f t="shared" si="0"/>
        <v>7683683.3636363633</v>
      </c>
      <c r="I125" s="35">
        <f t="shared" si="0"/>
        <v>10172169.382388825</v>
      </c>
      <c r="J125" s="739">
        <f>NPV(K127,E125:I125)+D125</f>
        <v>22670126.205356613</v>
      </c>
      <c r="K125" s="740"/>
      <c r="L125" s="737"/>
      <c r="M125" s="737"/>
      <c r="N125" s="737"/>
      <c r="O125" s="737"/>
      <c r="P125" s="37"/>
      <c r="Q125" s="35"/>
      <c r="R125" s="35"/>
      <c r="S125" s="35"/>
      <c r="T125" s="35"/>
      <c r="U125" s="35"/>
      <c r="V125" s="35"/>
      <c r="W125" s="297"/>
    </row>
    <row r="126" spans="3:23" ht="25.5">
      <c r="C126" s="3"/>
      <c r="E126" s="5"/>
      <c r="F126" s="5"/>
      <c r="G126" s="5"/>
      <c r="H126" s="5"/>
      <c r="I126" s="5"/>
      <c r="J126" s="740"/>
      <c r="K126" s="740"/>
      <c r="L126" s="737"/>
      <c r="M126" s="737"/>
      <c r="N126" s="737"/>
      <c r="O126" s="737"/>
    </row>
    <row r="127" spans="3:23" ht="25.5">
      <c r="J127" s="740" t="s">
        <v>140</v>
      </c>
      <c r="K127" s="741">
        <f>12%+2%+1.5%</f>
        <v>0.15499999999999997</v>
      </c>
      <c r="L127" s="737" t="s">
        <v>855</v>
      </c>
      <c r="M127" s="737"/>
      <c r="N127" s="737"/>
      <c r="O127" s="737"/>
    </row>
    <row r="128" spans="3:23">
      <c r="E128" s="297"/>
      <c r="K128" s="274"/>
    </row>
    <row r="129" spans="3:17">
      <c r="C129" s="593" t="s">
        <v>753</v>
      </c>
      <c r="D129" s="380">
        <v>-51399438.597399458</v>
      </c>
      <c r="E129" s="380">
        <v>86245473.427198231</v>
      </c>
      <c r="F129" s="380">
        <v>222514448.41313586</v>
      </c>
      <c r="G129" s="380">
        <v>460487762.47991806</v>
      </c>
      <c r="H129" s="380">
        <v>658728524.94132233</v>
      </c>
      <c r="I129" s="380">
        <v>694298886.37148952</v>
      </c>
    </row>
    <row r="130" spans="3:17" ht="12.75" customHeight="1">
      <c r="N130" s="369"/>
      <c r="O130" s="369"/>
      <c r="P130" s="369"/>
      <c r="Q130" s="369"/>
    </row>
    <row r="131" spans="3:17" ht="13.5" thickBot="1">
      <c r="N131" s="369"/>
      <c r="O131" s="369"/>
      <c r="P131" s="369"/>
      <c r="Q131" s="369"/>
    </row>
    <row r="132" spans="3:17" ht="15" thickBot="1">
      <c r="D132" s="1703" t="s">
        <v>576</v>
      </c>
      <c r="E132" s="1704"/>
      <c r="F132" s="1704"/>
      <c r="G132" s="1704"/>
      <c r="H132" s="1704"/>
      <c r="I132" s="1704"/>
      <c r="J132" s="1704"/>
      <c r="K132" s="1704"/>
      <c r="L132" s="1704"/>
      <c r="M132" s="1705"/>
      <c r="N132" s="384"/>
      <c r="O132" s="384"/>
      <c r="P132" s="369"/>
      <c r="Q132" s="369"/>
    </row>
    <row r="133" spans="3:17" ht="30">
      <c r="D133" s="401" t="s">
        <v>577</v>
      </c>
      <c r="E133" s="402" t="s">
        <v>578</v>
      </c>
      <c r="F133" s="403" t="s">
        <v>579</v>
      </c>
      <c r="G133" s="403" t="s">
        <v>102</v>
      </c>
      <c r="H133" s="403" t="s">
        <v>580</v>
      </c>
      <c r="I133" s="403" t="s">
        <v>581</v>
      </c>
      <c r="J133" s="403" t="s">
        <v>582</v>
      </c>
      <c r="K133" s="404" t="s">
        <v>583</v>
      </c>
      <c r="L133" s="405" t="s">
        <v>584</v>
      </c>
      <c r="M133" s="401" t="s">
        <v>585</v>
      </c>
      <c r="N133" s="384"/>
      <c r="O133" s="401" t="s">
        <v>586</v>
      </c>
      <c r="P133" s="369"/>
      <c r="Q133" s="369"/>
    </row>
    <row r="134" spans="3:17" ht="14.25">
      <c r="D134" s="406" t="s">
        <v>842</v>
      </c>
      <c r="E134" s="524">
        <v>35</v>
      </c>
      <c r="F134" s="408" t="s">
        <v>519</v>
      </c>
      <c r="G134" s="525"/>
      <c r="H134" s="525">
        <v>0</v>
      </c>
      <c r="I134" s="410">
        <f>1-H134</f>
        <v>1</v>
      </c>
      <c r="J134" s="411">
        <f>E134/I134</f>
        <v>35</v>
      </c>
      <c r="K134" s="408">
        <v>1</v>
      </c>
      <c r="L134" s="412">
        <f>K134*J134*(1+G134)</f>
        <v>35</v>
      </c>
      <c r="M134" s="1735">
        <f>SUM(L134:L138)</f>
        <v>65</v>
      </c>
      <c r="N134" s="1717" t="s">
        <v>588</v>
      </c>
      <c r="O134" s="1718">
        <f>SUM(M134,N138)</f>
        <v>265</v>
      </c>
    </row>
    <row r="135" spans="3:17" ht="14.25">
      <c r="D135" s="406" t="s">
        <v>804</v>
      </c>
      <c r="E135" s="524">
        <v>10</v>
      </c>
      <c r="F135" s="408" t="s">
        <v>519</v>
      </c>
      <c r="G135" s="525">
        <v>0</v>
      </c>
      <c r="H135" s="525"/>
      <c r="I135" s="410">
        <f>1-H135</f>
        <v>1</v>
      </c>
      <c r="J135" s="411">
        <f>E135/I135</f>
        <v>10</v>
      </c>
      <c r="K135" s="410">
        <v>1</v>
      </c>
      <c r="L135" s="412">
        <f>K135*E135*(1+G135)</f>
        <v>10</v>
      </c>
      <c r="M135" s="1736"/>
      <c r="N135" s="1717"/>
      <c r="O135" s="1718"/>
    </row>
    <row r="136" spans="3:17" ht="14.25">
      <c r="D136" s="406" t="s">
        <v>181</v>
      </c>
      <c r="E136" s="524">
        <v>15</v>
      </c>
      <c r="F136" s="408" t="s">
        <v>591</v>
      </c>
      <c r="G136" s="525"/>
      <c r="H136" s="525"/>
      <c r="I136" s="410">
        <f>1-H136</f>
        <v>1</v>
      </c>
      <c r="J136" s="411">
        <f>E136/I136</f>
        <v>15</v>
      </c>
      <c r="K136" s="408">
        <v>1</v>
      </c>
      <c r="L136" s="412">
        <f>K136*E136*(1+G136)</f>
        <v>15</v>
      </c>
      <c r="M136" s="1736"/>
      <c r="N136" s="1717"/>
      <c r="O136" s="1718"/>
    </row>
    <row r="137" spans="3:17" ht="14.25">
      <c r="D137" s="406" t="s">
        <v>843</v>
      </c>
      <c r="E137" s="524">
        <v>5</v>
      </c>
      <c r="F137" s="408" t="s">
        <v>591</v>
      </c>
      <c r="G137" s="525"/>
      <c r="H137" s="525"/>
      <c r="I137" s="410">
        <f>1-H137</f>
        <v>1</v>
      </c>
      <c r="J137" s="411">
        <f>E137/I137</f>
        <v>5</v>
      </c>
      <c r="K137" s="408">
        <v>1</v>
      </c>
      <c r="L137" s="412">
        <f>K137*E137*(1+G137)</f>
        <v>5</v>
      </c>
      <c r="M137" s="1736"/>
      <c r="N137" s="1717"/>
      <c r="O137" s="1718"/>
    </row>
    <row r="138" spans="3:17" ht="15.75" thickBot="1">
      <c r="D138" s="414"/>
      <c r="E138" s="530"/>
      <c r="F138" s="416"/>
      <c r="G138" s="531"/>
      <c r="H138" s="531"/>
      <c r="I138" s="410">
        <f>1-H138</f>
        <v>1</v>
      </c>
      <c r="J138" s="411">
        <f>E138/I138</f>
        <v>0</v>
      </c>
      <c r="K138" s="416">
        <v>1</v>
      </c>
      <c r="L138" s="412">
        <f>K138*E138*(1+G138)</f>
        <v>0</v>
      </c>
      <c r="M138" s="1737"/>
      <c r="N138" s="532">
        <v>200</v>
      </c>
      <c r="O138" s="1718"/>
    </row>
    <row r="139" spans="3:17" ht="14.25">
      <c r="D139" s="384"/>
      <c r="E139" s="419" t="s">
        <v>595</v>
      </c>
      <c r="F139" s="384"/>
      <c r="G139" s="1719" t="s">
        <v>596</v>
      </c>
      <c r="H139" s="1720"/>
      <c r="K139" s="419" t="s">
        <v>595</v>
      </c>
      <c r="L139" s="384"/>
      <c r="M139" s="384"/>
      <c r="N139" s="419" t="s">
        <v>597</v>
      </c>
      <c r="O139" s="384"/>
      <c r="P139" s="369"/>
      <c r="Q139" s="369"/>
    </row>
    <row r="140" spans="3:17">
      <c r="N140" s="369"/>
      <c r="O140" s="369"/>
      <c r="P140" s="369"/>
      <c r="Q140" s="369"/>
    </row>
    <row r="141" spans="3:17">
      <c r="G141" s="258"/>
      <c r="N141" s="369"/>
      <c r="O141" s="369"/>
      <c r="P141" s="369"/>
      <c r="Q141" s="369"/>
    </row>
    <row r="142" spans="3:17" ht="14.25">
      <c r="G142" s="594"/>
      <c r="N142" s="369"/>
      <c r="O142" s="369"/>
      <c r="P142" s="369"/>
      <c r="Q142" s="369"/>
    </row>
    <row r="143" spans="3:17">
      <c r="I143" s="592"/>
      <c r="N143" s="369"/>
      <c r="O143" s="369"/>
      <c r="P143" s="369"/>
      <c r="Q143" s="369"/>
    </row>
    <row r="144" spans="3:17">
      <c r="H144" s="208"/>
      <c r="I144" s="595"/>
    </row>
    <row r="145" spans="2:15">
      <c r="H145" s="208"/>
    </row>
    <row r="146" spans="2:15" ht="15" thickBot="1">
      <c r="G146" s="351" t="s">
        <v>852</v>
      </c>
      <c r="M146" t="s">
        <v>448</v>
      </c>
      <c r="N146" s="304">
        <v>150000</v>
      </c>
      <c r="O146" s="352"/>
    </row>
    <row r="147" spans="2:15" ht="14.25">
      <c r="B147" s="40"/>
      <c r="C147" s="285"/>
      <c r="G147" s="351" t="s">
        <v>853</v>
      </c>
      <c r="M147" t="s">
        <v>448</v>
      </c>
      <c r="N147" s="305">
        <v>160000</v>
      </c>
      <c r="O147" s="353"/>
    </row>
    <row r="148" spans="2:15" ht="15">
      <c r="B148" s="42"/>
      <c r="C148" s="43"/>
      <c r="G148">
        <v>3</v>
      </c>
      <c r="M148" t="s">
        <v>449</v>
      </c>
    </row>
    <row r="149" spans="2:15" ht="15">
      <c r="B149" s="44"/>
      <c r="C149" s="573"/>
    </row>
    <row r="150" spans="2:15" ht="15">
      <c r="B150" s="44"/>
      <c r="C150" s="46"/>
      <c r="D150" s="4"/>
    </row>
    <row r="151" spans="2:15">
      <c r="B151" s="47"/>
      <c r="C151" s="48"/>
    </row>
    <row r="152" spans="2:15">
      <c r="B152" s="47"/>
      <c r="C152" s="49"/>
      <c r="D152" s="4"/>
    </row>
    <row r="153" spans="2:15">
      <c r="B153" s="47"/>
      <c r="C153" s="49"/>
      <c r="D153" s="4"/>
    </row>
    <row r="154" spans="2:15">
      <c r="B154" s="47"/>
      <c r="C154" s="49"/>
      <c r="D154" s="4"/>
    </row>
    <row r="155" spans="2:15">
      <c r="B155" s="47"/>
      <c r="C155" s="49"/>
      <c r="D155" s="4"/>
      <c r="E155" s="4"/>
      <c r="F155" s="4"/>
    </row>
    <row r="156" spans="2:15" ht="13.5" thickBot="1">
      <c r="B156" s="50"/>
      <c r="C156" s="51"/>
      <c r="D156" s="4"/>
      <c r="E156" s="4"/>
      <c r="F156" s="4"/>
    </row>
    <row r="158" spans="2:15" ht="15.75">
      <c r="B158" s="570"/>
      <c r="C158" s="571"/>
      <c r="L158" s="579"/>
    </row>
    <row r="159" spans="2:15" ht="14.25">
      <c r="B159" s="570"/>
      <c r="C159" s="491"/>
    </row>
    <row r="160" spans="2:15" ht="14.25">
      <c r="B160" s="570"/>
      <c r="C160" s="572"/>
      <c r="N160" s="580">
        <f>L173</f>
        <v>13000000</v>
      </c>
      <c r="O160" s="208">
        <v>1</v>
      </c>
    </row>
    <row r="161" spans="2:16" ht="14.25">
      <c r="B161" s="570"/>
      <c r="C161" s="572"/>
      <c r="N161" s="580">
        <f>L170</f>
        <v>2000000</v>
      </c>
      <c r="O161" s="581">
        <f>(N161*O160)/N160</f>
        <v>0.15384615384615385</v>
      </c>
    </row>
    <row r="163" spans="2:16">
      <c r="N163" s="580">
        <f>N160</f>
        <v>13000000</v>
      </c>
      <c r="O163" s="208">
        <v>1</v>
      </c>
    </row>
    <row r="164" spans="2:16" ht="14.25">
      <c r="B164" s="570"/>
      <c r="C164" s="574"/>
      <c r="D164" s="574"/>
      <c r="E164" s="574"/>
      <c r="F164" s="574"/>
      <c r="G164" s="574"/>
      <c r="H164" s="574"/>
      <c r="N164" s="582">
        <v>6000000</v>
      </c>
      <c r="O164" s="583">
        <f>(N164*O163)/N163</f>
        <v>0.46153846153846156</v>
      </c>
    </row>
    <row r="165" spans="2:16">
      <c r="C165" s="303"/>
      <c r="D165" s="303"/>
      <c r="E165" s="303"/>
      <c r="F165" s="303"/>
      <c r="G165" s="303"/>
      <c r="H165" s="303"/>
    </row>
    <row r="166" spans="2:16">
      <c r="C166" s="303"/>
      <c r="D166" s="303"/>
      <c r="E166" s="303"/>
      <c r="F166" s="303"/>
      <c r="G166" s="303"/>
      <c r="H166" s="303"/>
      <c r="L166" t="s">
        <v>751</v>
      </c>
      <c r="N166" s="580">
        <f>N160</f>
        <v>13000000</v>
      </c>
      <c r="O166" s="208">
        <v>1</v>
      </c>
    </row>
    <row r="167" spans="2:16" ht="14.25">
      <c r="C167" s="575"/>
      <c r="D167" s="576"/>
      <c r="E167" s="574"/>
      <c r="F167" s="584"/>
      <c r="G167" s="576"/>
      <c r="H167" s="576"/>
      <c r="N167" s="582">
        <v>5000000</v>
      </c>
      <c r="O167" s="585">
        <f>(N167*O166)/N166</f>
        <v>0.38461538461538464</v>
      </c>
    </row>
    <row r="169" spans="2:16" ht="14.25">
      <c r="L169" s="570" t="s">
        <v>752</v>
      </c>
      <c r="N169" s="576" t="s">
        <v>1103</v>
      </c>
    </row>
    <row r="170" spans="2:16" ht="14.25">
      <c r="B170" s="570"/>
      <c r="C170" s="578"/>
      <c r="L170" s="582">
        <v>2000000</v>
      </c>
      <c r="N170" s="1038">
        <v>0.18</v>
      </c>
      <c r="O170" s="586">
        <f>L170/$L$173</f>
        <v>0.15384615384615385</v>
      </c>
      <c r="P170" s="578">
        <f>N170*O170</f>
        <v>2.7692307692307693E-2</v>
      </c>
    </row>
    <row r="171" spans="2:16" ht="14.25">
      <c r="L171" s="582">
        <v>6000000</v>
      </c>
      <c r="N171" s="1038">
        <v>0.35</v>
      </c>
      <c r="O171" s="587">
        <f>L171/$L$173</f>
        <v>0.46153846153846156</v>
      </c>
      <c r="P171" s="578">
        <f>N171*O171</f>
        <v>0.16153846153846155</v>
      </c>
    </row>
    <row r="172" spans="2:16" ht="14.25">
      <c r="L172" s="588">
        <v>5000000</v>
      </c>
      <c r="N172" s="577">
        <v>0.3</v>
      </c>
      <c r="O172" s="590">
        <f>L172/$L$173</f>
        <v>0.38461538461538464</v>
      </c>
      <c r="P172" s="578">
        <f>N172*O172</f>
        <v>0.11538461538461539</v>
      </c>
    </row>
    <row r="173" spans="2:16" ht="15">
      <c r="L173" s="582">
        <f>SUM(L170:L172)</f>
        <v>13000000</v>
      </c>
      <c r="N173" s="491"/>
      <c r="P173" s="591">
        <f>SUM(P170:P172)</f>
        <v>0.30461538461538462</v>
      </c>
    </row>
    <row r="174" spans="2:16" ht="14.25">
      <c r="N174" s="491"/>
    </row>
  </sheetData>
  <mergeCells count="20">
    <mergeCell ref="M45:O45"/>
    <mergeCell ref="M48:O48"/>
    <mergeCell ref="M51:N51"/>
    <mergeCell ref="G53:K53"/>
    <mergeCell ref="A2:B12"/>
    <mergeCell ref="M30:N30"/>
    <mergeCell ref="O35:S35"/>
    <mergeCell ref="M41:O41"/>
    <mergeCell ref="M42:O42"/>
    <mergeCell ref="V55:Y55"/>
    <mergeCell ref="M56:N56"/>
    <mergeCell ref="G139:H139"/>
    <mergeCell ref="M64:Q64"/>
    <mergeCell ref="M72:Q72"/>
    <mergeCell ref="J103:M103"/>
    <mergeCell ref="D132:M132"/>
    <mergeCell ref="M134:M138"/>
    <mergeCell ref="N134:N137"/>
    <mergeCell ref="O134:O138"/>
    <mergeCell ref="J61:K61"/>
  </mergeCells>
  <conditionalFormatting sqref="G52:K52">
    <cfRule type="containsText" dxfId="24" priority="1" operator="containsText" text="999">
      <formula>NOT(ISERROR(SEARCH(("999"),(G52))))</formula>
    </cfRule>
  </conditionalFormatting>
  <pageMargins left="0.7" right="0.7" top="0.75" bottom="0.75" header="0.3" footer="0.3"/>
  <pageSetup orientation="portrait" r:id="rId1"/>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C02D9-433C-435D-BA07-4C073690504F}">
  <sheetPr>
    <outlinePr summaryBelow="0" summaryRight="0"/>
  </sheetPr>
  <dimension ref="A1:AB96"/>
  <sheetViews>
    <sheetView topLeftCell="A40" zoomScaleNormal="100" workbookViewId="0">
      <selection activeCell="J73" sqref="J70:J73"/>
    </sheetView>
  </sheetViews>
  <sheetFormatPr defaultColWidth="14.42578125" defaultRowHeight="15" customHeight="1"/>
  <cols>
    <col min="1" max="1" width="14.42578125" style="384"/>
    <col min="2" max="2" width="37" style="384" customWidth="1"/>
    <col min="3" max="3" width="17.42578125" style="384" bestFit="1" customWidth="1"/>
    <col min="4" max="4" width="18.140625" style="384" customWidth="1"/>
    <col min="5" max="5" width="18.7109375" style="384" bestFit="1" customWidth="1"/>
    <col min="6" max="6" width="22.85546875" style="384" customWidth="1"/>
    <col min="7" max="7" width="19.14062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16384" width="14.42578125" style="384"/>
  </cols>
  <sheetData>
    <row r="1" spans="1:28" ht="14.25">
      <c r="A1" s="448"/>
    </row>
    <row r="2" spans="1:28" ht="15" customHeight="1">
      <c r="B2" s="1726" t="s">
        <v>628</v>
      </c>
      <c r="C2" s="1726"/>
    </row>
    <row r="3" spans="1:28" ht="15" customHeight="1">
      <c r="B3" s="1726"/>
      <c r="C3" s="1726"/>
      <c r="Q3" s="449" t="s">
        <v>629</v>
      </c>
      <c r="R3" s="449">
        <v>130000</v>
      </c>
      <c r="S3" s="384" t="s">
        <v>630</v>
      </c>
    </row>
    <row r="4" spans="1:28" ht="15" customHeight="1">
      <c r="B4" s="1726"/>
      <c r="C4" s="1726"/>
      <c r="Q4" s="449" t="s">
        <v>631</v>
      </c>
      <c r="R4" s="450">
        <v>9000</v>
      </c>
    </row>
    <row r="5" spans="1:28"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row>
    <row r="6" spans="1:28"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row>
    <row r="7" spans="1:28" ht="15" customHeight="1">
      <c r="B7" s="458" t="s">
        <v>634</v>
      </c>
      <c r="C7" s="459">
        <v>175000</v>
      </c>
      <c r="D7" s="452"/>
      <c r="E7" s="452">
        <f>$C$7/12</f>
        <v>14583.333333333334</v>
      </c>
      <c r="F7" s="452">
        <f t="shared" ref="F7:P7" si="0">$C$7/12</f>
        <v>14583.333333333334</v>
      </c>
      <c r="G7" s="452">
        <f t="shared" si="0"/>
        <v>14583.333333333334</v>
      </c>
      <c r="H7" s="452">
        <f t="shared" si="0"/>
        <v>14583.333333333334</v>
      </c>
      <c r="I7" s="452">
        <f t="shared" si="0"/>
        <v>14583.333333333334</v>
      </c>
      <c r="J7" s="452">
        <f t="shared" si="0"/>
        <v>14583.333333333334</v>
      </c>
      <c r="K7" s="452">
        <f t="shared" si="0"/>
        <v>14583.333333333334</v>
      </c>
      <c r="L7" s="452">
        <f t="shared" si="0"/>
        <v>14583.333333333334</v>
      </c>
      <c r="M7" s="452">
        <f t="shared" si="0"/>
        <v>14583.333333333334</v>
      </c>
      <c r="N7" s="452">
        <f t="shared" si="0"/>
        <v>14583.333333333334</v>
      </c>
      <c r="O7" s="452">
        <f t="shared" si="0"/>
        <v>14583.333333333334</v>
      </c>
      <c r="P7" s="452">
        <f t="shared" si="0"/>
        <v>14583.333333333334</v>
      </c>
      <c r="Q7" s="452">
        <f>R3/12</f>
        <v>10833.333333333334</v>
      </c>
      <c r="R7" s="452">
        <f>R3/12</f>
        <v>10833.333333333334</v>
      </c>
      <c r="S7" s="452">
        <f>R3/12</f>
        <v>10833.333333333334</v>
      </c>
      <c r="T7" s="452">
        <f>R3/12</f>
        <v>10833.333333333334</v>
      </c>
      <c r="U7" s="452">
        <f>R3/12</f>
        <v>10833.333333333334</v>
      </c>
      <c r="V7" s="452">
        <f>R3/12</f>
        <v>10833.333333333334</v>
      </c>
      <c r="W7" s="452">
        <f>R3/12</f>
        <v>10833.333333333334</v>
      </c>
      <c r="X7" s="452">
        <f>R3/12</f>
        <v>10833.333333333334</v>
      </c>
      <c r="Y7" s="452">
        <f>R3/12</f>
        <v>10833.333333333334</v>
      </c>
      <c r="Z7" s="452">
        <f>R3/12</f>
        <v>10833.333333333334</v>
      </c>
      <c r="AA7" s="452">
        <f>R3/12</f>
        <v>10833.333333333334</v>
      </c>
      <c r="AB7" s="452">
        <f>R3/12</f>
        <v>10833.333333333334</v>
      </c>
    </row>
    <row r="8" spans="1:28" ht="15" customHeight="1">
      <c r="B8" s="452"/>
      <c r="C8" s="452"/>
      <c r="D8" s="452"/>
      <c r="E8" s="452"/>
      <c r="F8" s="452"/>
      <c r="G8" s="452"/>
      <c r="H8" s="452"/>
      <c r="Q8" s="452"/>
      <c r="R8" s="452"/>
      <c r="S8" s="452"/>
      <c r="T8" s="452"/>
    </row>
    <row r="9" spans="1:28" ht="15" customHeight="1">
      <c r="B9" s="460" t="s">
        <v>220</v>
      </c>
      <c r="C9" s="450">
        <v>150</v>
      </c>
      <c r="D9" s="452"/>
      <c r="E9" s="452"/>
      <c r="F9" s="452"/>
      <c r="G9" s="452"/>
      <c r="H9" s="452"/>
      <c r="Q9" s="452"/>
      <c r="R9" s="452"/>
      <c r="S9" s="452"/>
      <c r="T9" s="452"/>
    </row>
    <row r="10" spans="1:28" ht="15" customHeight="1">
      <c r="B10" s="461" t="s">
        <v>635</v>
      </c>
      <c r="C10" s="462">
        <v>0.1</v>
      </c>
      <c r="D10" s="452"/>
      <c r="E10" s="463">
        <f>$C$10*$C$9*E7</f>
        <v>218750</v>
      </c>
      <c r="F10" s="463">
        <f t="shared" ref="F10:P10" si="1">$C$10*$C$9*F7</f>
        <v>218750</v>
      </c>
      <c r="G10" s="463">
        <f t="shared" si="1"/>
        <v>218750</v>
      </c>
      <c r="H10" s="463">
        <f t="shared" si="1"/>
        <v>218750</v>
      </c>
      <c r="I10" s="463">
        <f t="shared" si="1"/>
        <v>218750</v>
      </c>
      <c r="J10" s="463">
        <f t="shared" si="1"/>
        <v>218750</v>
      </c>
      <c r="K10" s="463">
        <f t="shared" si="1"/>
        <v>218750</v>
      </c>
      <c r="L10" s="463">
        <f t="shared" si="1"/>
        <v>218750</v>
      </c>
      <c r="M10" s="463">
        <f t="shared" si="1"/>
        <v>218750</v>
      </c>
      <c r="N10" s="463">
        <f t="shared" si="1"/>
        <v>218750</v>
      </c>
      <c r="O10" s="463">
        <f t="shared" si="1"/>
        <v>218750</v>
      </c>
      <c r="P10" s="463">
        <f t="shared" si="1"/>
        <v>218750</v>
      </c>
      <c r="Q10" s="463">
        <f>$C$10*R4*Q7</f>
        <v>9750000</v>
      </c>
      <c r="R10" s="463">
        <f>$C$10*R4*R7</f>
        <v>9750000</v>
      </c>
      <c r="S10" s="463">
        <f>$C$10*R4*S7</f>
        <v>9750000</v>
      </c>
      <c r="T10" s="463">
        <f>$C$10*R4*T7</f>
        <v>9750000</v>
      </c>
      <c r="U10" s="463">
        <f>$C$10*R4*U7</f>
        <v>9750000</v>
      </c>
      <c r="V10" s="463">
        <f>$C$10*R4*V7</f>
        <v>9750000</v>
      </c>
      <c r="W10" s="463">
        <f>$C$10*R4*W7</f>
        <v>9750000</v>
      </c>
      <c r="X10" s="463">
        <f>$C$10*R4*X7</f>
        <v>9750000</v>
      </c>
      <c r="Y10" s="463">
        <f>$C$10*R4*Y7</f>
        <v>9750000</v>
      </c>
      <c r="Z10" s="463">
        <f>$C$10*R4*Z7</f>
        <v>9750000</v>
      </c>
      <c r="AA10" s="463">
        <f>$C$10*R4*AA7</f>
        <v>9750000</v>
      </c>
      <c r="AB10" s="463">
        <f>$C$10*R4*AB7</f>
        <v>9750000</v>
      </c>
    </row>
    <row r="11" spans="1:28" ht="15" customHeight="1">
      <c r="B11" s="461" t="s">
        <v>636</v>
      </c>
      <c r="C11" s="462">
        <v>0.2</v>
      </c>
      <c r="D11" s="452"/>
      <c r="E11" s="463"/>
      <c r="F11" s="463">
        <f t="shared" ref="F11:P11" si="2">$C$11*$C$9*F7</f>
        <v>437500</v>
      </c>
      <c r="G11" s="463">
        <f t="shared" si="2"/>
        <v>437500</v>
      </c>
      <c r="H11" s="463">
        <f t="shared" si="2"/>
        <v>437500</v>
      </c>
      <c r="I11" s="463">
        <f t="shared" si="2"/>
        <v>437500</v>
      </c>
      <c r="J11" s="463">
        <f t="shared" si="2"/>
        <v>437500</v>
      </c>
      <c r="K11" s="463">
        <f t="shared" si="2"/>
        <v>437500</v>
      </c>
      <c r="L11" s="463">
        <f t="shared" si="2"/>
        <v>437500</v>
      </c>
      <c r="M11" s="463">
        <f t="shared" si="2"/>
        <v>437500</v>
      </c>
      <c r="N11" s="463">
        <f t="shared" si="2"/>
        <v>437500</v>
      </c>
      <c r="O11" s="463">
        <f t="shared" si="2"/>
        <v>437500</v>
      </c>
      <c r="P11" s="463">
        <f t="shared" si="2"/>
        <v>437500</v>
      </c>
      <c r="Q11" s="463">
        <f>$C$11*R4*Q7</f>
        <v>19500000</v>
      </c>
      <c r="R11" s="463">
        <f>$C$11*R4*R7</f>
        <v>19500000</v>
      </c>
      <c r="S11" s="463">
        <f>$C$11*R4*S7</f>
        <v>19500000</v>
      </c>
      <c r="T11" s="463">
        <f>$C$11*R4*T7</f>
        <v>19500000</v>
      </c>
      <c r="U11" s="463">
        <f>$C$11*R4*U7</f>
        <v>19500000</v>
      </c>
      <c r="V11" s="463">
        <f>$C$11*R4*V7</f>
        <v>19500000</v>
      </c>
      <c r="W11" s="463">
        <f>$C$11*R4*W7</f>
        <v>19500000</v>
      </c>
      <c r="X11" s="463">
        <f>$C$11*R4*X7</f>
        <v>19500000</v>
      </c>
      <c r="Y11" s="463">
        <f>$C$11*R4*Y7</f>
        <v>19500000</v>
      </c>
      <c r="Z11" s="463">
        <f>$C$11*R4*Z7</f>
        <v>19500000</v>
      </c>
      <c r="AA11" s="463">
        <f>$C$11*R4*AA7</f>
        <v>19500000</v>
      </c>
      <c r="AB11" s="463">
        <f>$C$11*R4*AB7</f>
        <v>19500000</v>
      </c>
    </row>
    <row r="12" spans="1:28" ht="15" customHeight="1">
      <c r="B12" s="461" t="s">
        <v>637</v>
      </c>
      <c r="C12" s="462">
        <v>0.7</v>
      </c>
      <c r="D12" s="452"/>
      <c r="E12" s="463"/>
      <c r="F12" s="463"/>
      <c r="G12" s="463">
        <f>$C12*$C$9*G7</f>
        <v>1531250</v>
      </c>
      <c r="H12" s="463">
        <f t="shared" ref="H12:P12" si="3">$C12*$C$9*H7</f>
        <v>1531250</v>
      </c>
      <c r="I12" s="463">
        <f t="shared" si="3"/>
        <v>1531250</v>
      </c>
      <c r="J12" s="463">
        <f t="shared" si="3"/>
        <v>1531250</v>
      </c>
      <c r="K12" s="463">
        <f t="shared" si="3"/>
        <v>1531250</v>
      </c>
      <c r="L12" s="463">
        <f t="shared" si="3"/>
        <v>1531250</v>
      </c>
      <c r="M12" s="463">
        <f t="shared" si="3"/>
        <v>1531250</v>
      </c>
      <c r="N12" s="463">
        <f t="shared" si="3"/>
        <v>1531250</v>
      </c>
      <c r="O12" s="463">
        <f t="shared" si="3"/>
        <v>1531250</v>
      </c>
      <c r="P12" s="463">
        <f t="shared" si="3"/>
        <v>1531250</v>
      </c>
      <c r="Q12" s="463">
        <f>$C12*R4*Q7</f>
        <v>68250000</v>
      </c>
      <c r="R12" s="463">
        <f>$C12*R4*R7</f>
        <v>68250000</v>
      </c>
      <c r="S12" s="463">
        <f>$C12*R4*S7</f>
        <v>68250000</v>
      </c>
      <c r="T12" s="463">
        <f>$C12*R4*T7</f>
        <v>68250000</v>
      </c>
      <c r="U12" s="463">
        <f>$C12*R4*U7</f>
        <v>68250000</v>
      </c>
      <c r="V12" s="463">
        <f>$C12*R4*V7</f>
        <v>68250000</v>
      </c>
      <c r="W12" s="463">
        <f>$C12*R4*W7</f>
        <v>68250000</v>
      </c>
      <c r="X12" s="463">
        <f>$C12*R4*X7</f>
        <v>68250000</v>
      </c>
      <c r="Y12" s="463">
        <f>$C12*R4*Y7</f>
        <v>68250000</v>
      </c>
      <c r="Z12" s="463">
        <f>$C12*R4*Z7</f>
        <v>68250000</v>
      </c>
      <c r="AA12" s="463">
        <f>$C12*R4*AA7</f>
        <v>68250000</v>
      </c>
      <c r="AB12" s="463">
        <f>$C12*R4*AB7</f>
        <v>68250000</v>
      </c>
    </row>
    <row r="13" spans="1:28" ht="15" customHeight="1">
      <c r="B13" s="464" t="s">
        <v>638</v>
      </c>
      <c r="C13" s="465">
        <v>0</v>
      </c>
      <c r="D13" s="466"/>
      <c r="E13" s="467"/>
      <c r="F13" s="467"/>
      <c r="G13" s="467"/>
      <c r="H13" s="467">
        <f t="shared" ref="H13:P13" si="4">$C$13*$C$9*H7</f>
        <v>0</v>
      </c>
      <c r="I13" s="467">
        <f t="shared" si="4"/>
        <v>0</v>
      </c>
      <c r="J13" s="467">
        <f t="shared" si="4"/>
        <v>0</v>
      </c>
      <c r="K13" s="467">
        <f t="shared" si="4"/>
        <v>0</v>
      </c>
      <c r="L13" s="467">
        <f t="shared" si="4"/>
        <v>0</v>
      </c>
      <c r="M13" s="467">
        <f t="shared" si="4"/>
        <v>0</v>
      </c>
      <c r="N13" s="467">
        <f t="shared" si="4"/>
        <v>0</v>
      </c>
      <c r="O13" s="467">
        <f t="shared" si="4"/>
        <v>0</v>
      </c>
      <c r="P13" s="467">
        <f t="shared" si="4"/>
        <v>0</v>
      </c>
      <c r="Q13" s="467">
        <f>$C$13*R4*Q7</f>
        <v>0</v>
      </c>
      <c r="R13" s="467">
        <f>$C$13*R4*R7</f>
        <v>0</v>
      </c>
      <c r="S13" s="467">
        <f>$C$13*R4*S7</f>
        <v>0</v>
      </c>
      <c r="T13" s="467">
        <f>$C$13*R4*T7</f>
        <v>0</v>
      </c>
      <c r="U13" s="467">
        <f>$C$13*R4*U7</f>
        <v>0</v>
      </c>
      <c r="V13" s="467">
        <f>$C$13*R4*V7</f>
        <v>0</v>
      </c>
      <c r="W13" s="467">
        <f>$C$13*R4*W7</f>
        <v>0</v>
      </c>
      <c r="X13" s="467">
        <f>$C$13*R4*X7</f>
        <v>0</v>
      </c>
      <c r="Y13" s="467">
        <f>$C$13*R4*Y7</f>
        <v>0</v>
      </c>
      <c r="Z13" s="467">
        <f>$C$13*R4*Z7</f>
        <v>0</v>
      </c>
      <c r="AA13" s="467">
        <f>$C$13*R4*AA7</f>
        <v>0</v>
      </c>
      <c r="AB13" s="467">
        <f>$C$13*R4*AB7</f>
        <v>0</v>
      </c>
    </row>
    <row r="14" spans="1:28" ht="15" customHeight="1">
      <c r="B14" s="461"/>
      <c r="C14" s="468">
        <f>SUM(C10:C13)</f>
        <v>1</v>
      </c>
      <c r="D14" s="452"/>
      <c r="E14" s="463">
        <f t="shared" ref="E14:AB14" si="5">SUM(E10:E13)</f>
        <v>218750</v>
      </c>
      <c r="F14" s="463">
        <f t="shared" si="5"/>
        <v>656250</v>
      </c>
      <c r="G14" s="463">
        <f t="shared" si="5"/>
        <v>2187500</v>
      </c>
      <c r="H14" s="463">
        <f t="shared" si="5"/>
        <v>2187500</v>
      </c>
      <c r="I14" s="463">
        <f t="shared" si="5"/>
        <v>2187500</v>
      </c>
      <c r="J14" s="463">
        <f t="shared" si="5"/>
        <v>2187500</v>
      </c>
      <c r="K14" s="463">
        <f t="shared" si="5"/>
        <v>2187500</v>
      </c>
      <c r="L14" s="463">
        <f t="shared" si="5"/>
        <v>2187500</v>
      </c>
      <c r="M14" s="463">
        <f t="shared" si="5"/>
        <v>2187500</v>
      </c>
      <c r="N14" s="463">
        <f t="shared" si="5"/>
        <v>2187500</v>
      </c>
      <c r="O14" s="463">
        <f t="shared" si="5"/>
        <v>2187500</v>
      </c>
      <c r="P14" s="463">
        <f t="shared" si="5"/>
        <v>2187500</v>
      </c>
      <c r="Q14" s="463">
        <f t="shared" si="5"/>
        <v>97500000</v>
      </c>
      <c r="R14" s="463">
        <f t="shared" si="5"/>
        <v>97500000</v>
      </c>
      <c r="S14" s="463">
        <f t="shared" si="5"/>
        <v>97500000</v>
      </c>
      <c r="T14" s="463">
        <f t="shared" si="5"/>
        <v>97500000</v>
      </c>
      <c r="U14" s="463">
        <f t="shared" si="5"/>
        <v>97500000</v>
      </c>
      <c r="V14" s="463">
        <f t="shared" si="5"/>
        <v>97500000</v>
      </c>
      <c r="W14" s="463">
        <f t="shared" si="5"/>
        <v>97500000</v>
      </c>
      <c r="X14" s="463">
        <f t="shared" si="5"/>
        <v>97500000</v>
      </c>
      <c r="Y14" s="463">
        <f t="shared" si="5"/>
        <v>97500000</v>
      </c>
      <c r="Z14" s="463">
        <f t="shared" si="5"/>
        <v>97500000</v>
      </c>
      <c r="AA14" s="463">
        <f t="shared" si="5"/>
        <v>97500000</v>
      </c>
      <c r="AB14" s="463">
        <f t="shared" si="5"/>
        <v>97500000</v>
      </c>
    </row>
    <row r="15" spans="1:28" ht="15" customHeight="1">
      <c r="B15" s="453" t="s">
        <v>639</v>
      </c>
      <c r="C15" s="452"/>
      <c r="D15" s="452"/>
      <c r="E15" s="452"/>
      <c r="F15" s="452"/>
      <c r="G15" s="452"/>
      <c r="H15" s="452"/>
      <c r="J15" s="469"/>
      <c r="K15" s="469"/>
      <c r="L15" s="469"/>
      <c r="M15" s="469"/>
      <c r="N15" s="469"/>
      <c r="Q15" s="452"/>
      <c r="R15" s="452"/>
      <c r="S15" s="452"/>
      <c r="T15" s="452"/>
      <c r="V15" s="469"/>
      <c r="W15" s="469"/>
      <c r="X15" s="469"/>
      <c r="Y15" s="469"/>
      <c r="Z15" s="469"/>
    </row>
    <row r="16" spans="1:28" ht="15" customHeight="1">
      <c r="B16" s="630" t="s">
        <v>640</v>
      </c>
      <c r="C16" s="470">
        <v>0.05</v>
      </c>
      <c r="D16" s="452"/>
      <c r="E16" s="471">
        <f>-E14*$C$16</f>
        <v>-10937.5</v>
      </c>
      <c r="F16" s="471">
        <f>-F14*$C$16</f>
        <v>-32812.5</v>
      </c>
      <c r="G16" s="471">
        <f t="shared" ref="G16:P16" si="6">-G14*(0.65)*$C$16</f>
        <v>-71093.75</v>
      </c>
      <c r="H16" s="471">
        <f t="shared" si="6"/>
        <v>-71093.75</v>
      </c>
      <c r="I16" s="471">
        <f t="shared" si="6"/>
        <v>-71093.75</v>
      </c>
      <c r="J16" s="471">
        <f t="shared" si="6"/>
        <v>-71093.75</v>
      </c>
      <c r="K16" s="471">
        <f t="shared" si="6"/>
        <v>-71093.75</v>
      </c>
      <c r="L16" s="471">
        <f t="shared" si="6"/>
        <v>-71093.75</v>
      </c>
      <c r="M16" s="471">
        <f t="shared" si="6"/>
        <v>-71093.75</v>
      </c>
      <c r="N16" s="471">
        <f t="shared" si="6"/>
        <v>-71093.75</v>
      </c>
      <c r="O16" s="471">
        <f t="shared" si="6"/>
        <v>-71093.75</v>
      </c>
      <c r="P16" s="471">
        <f t="shared" si="6"/>
        <v>-71093.75</v>
      </c>
      <c r="Q16" s="471">
        <f>-Q14*(0.65)*$C$16</f>
        <v>-3168750</v>
      </c>
      <c r="R16" s="471">
        <f t="shared" ref="R16:AB16" si="7">-R14*(0.65)*$C$16</f>
        <v>-3168750</v>
      </c>
      <c r="S16" s="471">
        <f t="shared" si="7"/>
        <v>-3168750</v>
      </c>
      <c r="T16" s="471">
        <f t="shared" si="7"/>
        <v>-3168750</v>
      </c>
      <c r="U16" s="471">
        <f t="shared" si="7"/>
        <v>-3168750</v>
      </c>
      <c r="V16" s="471">
        <f t="shared" si="7"/>
        <v>-3168750</v>
      </c>
      <c r="W16" s="471">
        <f t="shared" si="7"/>
        <v>-3168750</v>
      </c>
      <c r="X16" s="471">
        <f t="shared" si="7"/>
        <v>-3168750</v>
      </c>
      <c r="Y16" s="471">
        <f t="shared" si="7"/>
        <v>-3168750</v>
      </c>
      <c r="Z16" s="471">
        <f t="shared" si="7"/>
        <v>-3168750</v>
      </c>
      <c r="AA16" s="471">
        <f t="shared" si="7"/>
        <v>-3168750</v>
      </c>
      <c r="AB16" s="471">
        <f t="shared" si="7"/>
        <v>-3168750</v>
      </c>
    </row>
    <row r="17" spans="2:28" ht="15" customHeight="1">
      <c r="B17" s="629" t="s">
        <v>442</v>
      </c>
      <c r="C17" s="473">
        <v>1.4999999999999999E-2</v>
      </c>
      <c r="D17" s="472"/>
      <c r="E17" s="474">
        <f>-E14*$C$17</f>
        <v>-3281.25</v>
      </c>
      <c r="F17" s="474">
        <f>-F14*$C$17</f>
        <v>-9843.75</v>
      </c>
      <c r="G17" s="474">
        <f t="shared" ref="G17:P17" si="8">-G14*(0.35)*$C$17</f>
        <v>-11484.375</v>
      </c>
      <c r="H17" s="474">
        <f t="shared" si="8"/>
        <v>-11484.375</v>
      </c>
      <c r="I17" s="474">
        <f t="shared" si="8"/>
        <v>-11484.375</v>
      </c>
      <c r="J17" s="474">
        <f t="shared" si="8"/>
        <v>-11484.375</v>
      </c>
      <c r="K17" s="474">
        <f t="shared" si="8"/>
        <v>-11484.375</v>
      </c>
      <c r="L17" s="474">
        <f t="shared" si="8"/>
        <v>-11484.375</v>
      </c>
      <c r="M17" s="474">
        <f t="shared" si="8"/>
        <v>-11484.375</v>
      </c>
      <c r="N17" s="474">
        <f t="shared" si="8"/>
        <v>-11484.375</v>
      </c>
      <c r="O17" s="474">
        <f t="shared" si="8"/>
        <v>-11484.375</v>
      </c>
      <c r="P17" s="474">
        <f t="shared" si="8"/>
        <v>-11484.375</v>
      </c>
      <c r="Q17" s="474">
        <f>-Q14*(0.35)*$C$17</f>
        <v>-511875</v>
      </c>
      <c r="R17" s="474">
        <f t="shared" ref="R17:AB17" si="9">-R14*(0.35)*$C$17</f>
        <v>-511875</v>
      </c>
      <c r="S17" s="474">
        <f t="shared" si="9"/>
        <v>-511875</v>
      </c>
      <c r="T17" s="474">
        <f t="shared" si="9"/>
        <v>-511875</v>
      </c>
      <c r="U17" s="474">
        <f t="shared" si="9"/>
        <v>-511875</v>
      </c>
      <c r="V17" s="474">
        <f t="shared" si="9"/>
        <v>-511875</v>
      </c>
      <c r="W17" s="474">
        <f t="shared" si="9"/>
        <v>-511875</v>
      </c>
      <c r="X17" s="474">
        <f t="shared" si="9"/>
        <v>-511875</v>
      </c>
      <c r="Y17" s="474">
        <f t="shared" si="9"/>
        <v>-511875</v>
      </c>
      <c r="Z17" s="474">
        <f t="shared" si="9"/>
        <v>-511875</v>
      </c>
      <c r="AA17" s="474">
        <f t="shared" si="9"/>
        <v>-511875</v>
      </c>
      <c r="AB17" s="474">
        <f t="shared" si="9"/>
        <v>-511875</v>
      </c>
    </row>
    <row r="18" spans="2:28" ht="15" customHeight="1">
      <c r="B18" s="452"/>
      <c r="C18" s="452"/>
      <c r="D18" s="452"/>
      <c r="E18" s="463">
        <f>SUM(E14:E17)</f>
        <v>204531.25</v>
      </c>
      <c r="F18" s="463">
        <f t="shared" ref="F18:P18" si="10">SUM(F14:F17)</f>
        <v>613593.75</v>
      </c>
      <c r="G18" s="463">
        <f t="shared" si="10"/>
        <v>2104921.875</v>
      </c>
      <c r="H18" s="463">
        <f t="shared" si="10"/>
        <v>2104921.875</v>
      </c>
      <c r="I18" s="463">
        <f t="shared" si="10"/>
        <v>2104921.875</v>
      </c>
      <c r="J18" s="463">
        <f t="shared" si="10"/>
        <v>2104921.875</v>
      </c>
      <c r="K18" s="463">
        <f t="shared" si="10"/>
        <v>2104921.875</v>
      </c>
      <c r="L18" s="463">
        <f t="shared" si="10"/>
        <v>2104921.875</v>
      </c>
      <c r="M18" s="463">
        <f t="shared" si="10"/>
        <v>2104921.875</v>
      </c>
      <c r="N18" s="463">
        <f t="shared" si="10"/>
        <v>2104921.875</v>
      </c>
      <c r="O18" s="463">
        <f t="shared" si="10"/>
        <v>2104921.875</v>
      </c>
      <c r="P18" s="463">
        <f t="shared" si="10"/>
        <v>2104921.875</v>
      </c>
      <c r="Q18" s="463">
        <f>SUM(Q14:Q17)</f>
        <v>93819375</v>
      </c>
      <c r="R18" s="463">
        <f t="shared" ref="R18:AB18" si="11">SUM(R14:R17)</f>
        <v>93819375</v>
      </c>
      <c r="S18" s="463">
        <f t="shared" si="11"/>
        <v>93819375</v>
      </c>
      <c r="T18" s="463">
        <f t="shared" si="11"/>
        <v>93819375</v>
      </c>
      <c r="U18" s="463">
        <f t="shared" si="11"/>
        <v>93819375</v>
      </c>
      <c r="V18" s="463">
        <f t="shared" si="11"/>
        <v>93819375</v>
      </c>
      <c r="W18" s="463">
        <f t="shared" si="11"/>
        <v>93819375</v>
      </c>
      <c r="X18" s="463">
        <f t="shared" si="11"/>
        <v>93819375</v>
      </c>
      <c r="Y18" s="463">
        <f t="shared" si="11"/>
        <v>93819375</v>
      </c>
      <c r="Z18" s="463">
        <f t="shared" si="11"/>
        <v>93819375</v>
      </c>
      <c r="AA18" s="463">
        <f t="shared" si="11"/>
        <v>93819375</v>
      </c>
      <c r="AB18" s="463">
        <f t="shared" si="11"/>
        <v>93819375</v>
      </c>
    </row>
    <row r="19" spans="2:28" ht="15" customHeight="1">
      <c r="B19" s="452"/>
      <c r="C19" s="452"/>
      <c r="D19" s="452"/>
      <c r="E19" s="452"/>
      <c r="F19" s="452"/>
      <c r="G19" s="452"/>
      <c r="H19" s="452"/>
      <c r="J19" s="469"/>
      <c r="K19" s="469"/>
      <c r="L19" s="469"/>
      <c r="M19" s="469"/>
      <c r="N19" s="469"/>
      <c r="Q19" s="452"/>
      <c r="R19" s="452"/>
      <c r="S19" s="452"/>
      <c r="T19" s="452"/>
      <c r="V19" s="469"/>
      <c r="W19" s="469"/>
      <c r="X19" s="469"/>
      <c r="Y19" s="469"/>
      <c r="Z19" s="469"/>
    </row>
    <row r="20" spans="2:28" ht="15" customHeight="1">
      <c r="B20" s="452"/>
      <c r="C20" s="452"/>
      <c r="D20" s="452"/>
      <c r="E20" s="1727" t="s">
        <v>451</v>
      </c>
      <c r="F20" s="1727"/>
      <c r="G20" s="1727"/>
      <c r="H20" s="1727"/>
      <c r="I20" s="1727"/>
      <c r="J20" s="1727"/>
      <c r="K20" s="1727"/>
      <c r="L20" s="1727"/>
      <c r="M20" s="1727"/>
      <c r="N20" s="1727"/>
      <c r="O20" s="1727"/>
      <c r="P20" s="1727"/>
      <c r="Q20" s="1727" t="s">
        <v>632</v>
      </c>
      <c r="R20" s="1727"/>
      <c r="S20" s="1727"/>
      <c r="T20" s="1727"/>
      <c r="U20" s="1727"/>
      <c r="V20" s="1727"/>
      <c r="W20" s="1727"/>
      <c r="X20" s="1727"/>
      <c r="Y20" s="1727"/>
      <c r="Z20" s="1727"/>
      <c r="AA20" s="1727"/>
      <c r="AB20" s="1727"/>
    </row>
    <row r="21" spans="2:28" ht="15" customHeight="1">
      <c r="B21" s="451" t="s">
        <v>451</v>
      </c>
      <c r="C21" s="452"/>
      <c r="D21" s="475">
        <v>0</v>
      </c>
      <c r="E21" s="475">
        <v>1</v>
      </c>
      <c r="F21" s="475">
        <v>2</v>
      </c>
      <c r="G21" s="475">
        <v>3</v>
      </c>
      <c r="H21" s="475">
        <v>4</v>
      </c>
      <c r="I21" s="475">
        <v>5</v>
      </c>
      <c r="J21" s="475">
        <v>6</v>
      </c>
      <c r="K21" s="475">
        <v>7</v>
      </c>
      <c r="L21" s="475">
        <v>8</v>
      </c>
      <c r="M21" s="475">
        <v>9</v>
      </c>
      <c r="N21" s="475">
        <v>10</v>
      </c>
      <c r="O21" s="475">
        <v>11</v>
      </c>
      <c r="P21" s="475">
        <v>12</v>
      </c>
      <c r="Q21" s="475">
        <v>13</v>
      </c>
      <c r="R21" s="475">
        <v>14</v>
      </c>
      <c r="S21" s="475">
        <v>15</v>
      </c>
      <c r="T21" s="475">
        <v>16</v>
      </c>
      <c r="U21" s="475">
        <v>17</v>
      </c>
      <c r="V21" s="475">
        <v>18</v>
      </c>
      <c r="W21" s="475">
        <v>19</v>
      </c>
      <c r="X21" s="475">
        <v>20</v>
      </c>
      <c r="Y21" s="475">
        <v>21</v>
      </c>
      <c r="Z21" s="475">
        <v>22</v>
      </c>
      <c r="AA21" s="475">
        <v>23</v>
      </c>
      <c r="AB21" s="475">
        <v>24</v>
      </c>
    </row>
    <row r="22" spans="2:28" ht="15" customHeight="1">
      <c r="B22" s="476" t="s">
        <v>641</v>
      </c>
      <c r="C22" s="452"/>
      <c r="D22" s="452"/>
      <c r="E22" s="452"/>
      <c r="F22" s="452"/>
      <c r="G22" s="452"/>
      <c r="H22" s="452"/>
      <c r="J22" s="469"/>
      <c r="K22" s="469"/>
      <c r="L22" s="469"/>
      <c r="M22" s="469"/>
      <c r="N22" s="469"/>
      <c r="Q22" s="452"/>
      <c r="R22" s="452"/>
      <c r="S22" s="452"/>
      <c r="T22" s="452"/>
      <c r="V22" s="469"/>
      <c r="W22" s="469"/>
      <c r="X22" s="469"/>
      <c r="Y22" s="469"/>
      <c r="Z22" s="469"/>
    </row>
    <row r="23" spans="2:28" ht="15" customHeight="1">
      <c r="B23" s="452" t="s">
        <v>845</v>
      </c>
      <c r="C23" s="452"/>
      <c r="D23" s="452"/>
      <c r="E23" s="463">
        <f>E18*0.98</f>
        <v>200440.625</v>
      </c>
      <c r="F23" s="463">
        <f t="shared" ref="F23:AB23" si="12">F18*0.98</f>
        <v>601321.875</v>
      </c>
      <c r="G23" s="463">
        <f t="shared" si="12"/>
        <v>2062823.4375</v>
      </c>
      <c r="H23" s="463">
        <f t="shared" si="12"/>
        <v>2062823.4375</v>
      </c>
      <c r="I23" s="463">
        <f t="shared" si="12"/>
        <v>2062823.4375</v>
      </c>
      <c r="J23" s="463">
        <f t="shared" si="12"/>
        <v>2062823.4375</v>
      </c>
      <c r="K23" s="463">
        <f t="shared" si="12"/>
        <v>2062823.4375</v>
      </c>
      <c r="L23" s="463">
        <f t="shared" si="12"/>
        <v>2062823.4375</v>
      </c>
      <c r="M23" s="463">
        <f t="shared" si="12"/>
        <v>2062823.4375</v>
      </c>
      <c r="N23" s="463">
        <f t="shared" si="12"/>
        <v>2062823.4375</v>
      </c>
      <c r="O23" s="463">
        <f t="shared" si="12"/>
        <v>2062823.4375</v>
      </c>
      <c r="P23" s="463">
        <f t="shared" si="12"/>
        <v>2062823.4375</v>
      </c>
      <c r="Q23" s="463">
        <f t="shared" si="12"/>
        <v>91942987.5</v>
      </c>
      <c r="R23" s="463">
        <f t="shared" si="12"/>
        <v>91942987.5</v>
      </c>
      <c r="S23" s="463">
        <f t="shared" si="12"/>
        <v>91942987.5</v>
      </c>
      <c r="T23" s="463">
        <f t="shared" si="12"/>
        <v>91942987.5</v>
      </c>
      <c r="U23" s="463">
        <f t="shared" si="12"/>
        <v>91942987.5</v>
      </c>
      <c r="V23" s="463">
        <f t="shared" si="12"/>
        <v>91942987.5</v>
      </c>
      <c r="W23" s="463">
        <f t="shared" si="12"/>
        <v>91942987.5</v>
      </c>
      <c r="X23" s="463">
        <f t="shared" si="12"/>
        <v>91942987.5</v>
      </c>
      <c r="Y23" s="463">
        <f t="shared" si="12"/>
        <v>91942987.5</v>
      </c>
      <c r="Z23" s="463">
        <f t="shared" si="12"/>
        <v>91942987.5</v>
      </c>
      <c r="AA23" s="463">
        <f t="shared" si="12"/>
        <v>91942987.5</v>
      </c>
      <c r="AB23" s="463">
        <f t="shared" si="12"/>
        <v>91942987.5</v>
      </c>
    </row>
    <row r="24" spans="2:28" ht="15" customHeight="1">
      <c r="B24" s="452"/>
      <c r="C24" s="452"/>
      <c r="D24" s="452"/>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row>
    <row r="25" spans="2:28" s="479" customFormat="1" ht="15" customHeight="1">
      <c r="B25" s="458" t="s">
        <v>642</v>
      </c>
      <c r="C25" s="625">
        <v>175000</v>
      </c>
      <c r="D25" s="478"/>
      <c r="E25" s="478">
        <f>$C$25/12</f>
        <v>14583.333333333334</v>
      </c>
      <c r="F25" s="478">
        <f t="shared" ref="F25:AB25" si="13">$C$25/12</f>
        <v>14583.333333333334</v>
      </c>
      <c r="G25" s="478">
        <f t="shared" si="13"/>
        <v>14583.333333333334</v>
      </c>
      <c r="H25" s="478">
        <f t="shared" si="13"/>
        <v>14583.333333333334</v>
      </c>
      <c r="I25" s="478">
        <f t="shared" si="13"/>
        <v>14583.333333333334</v>
      </c>
      <c r="J25" s="478">
        <f t="shared" si="13"/>
        <v>14583.333333333334</v>
      </c>
      <c r="K25" s="478">
        <f t="shared" si="13"/>
        <v>14583.333333333334</v>
      </c>
      <c r="L25" s="478">
        <f t="shared" si="13"/>
        <v>14583.333333333334</v>
      </c>
      <c r="M25" s="478">
        <f t="shared" si="13"/>
        <v>14583.333333333334</v>
      </c>
      <c r="N25" s="478">
        <f t="shared" si="13"/>
        <v>14583.333333333334</v>
      </c>
      <c r="O25" s="478">
        <f t="shared" si="13"/>
        <v>14583.333333333334</v>
      </c>
      <c r="P25" s="478">
        <f t="shared" si="13"/>
        <v>14583.333333333334</v>
      </c>
      <c r="Q25" s="478">
        <f>$C$25/12</f>
        <v>14583.333333333334</v>
      </c>
      <c r="R25" s="478">
        <f t="shared" si="13"/>
        <v>14583.333333333334</v>
      </c>
      <c r="S25" s="478">
        <f t="shared" si="13"/>
        <v>14583.333333333334</v>
      </c>
      <c r="T25" s="478">
        <f t="shared" si="13"/>
        <v>14583.333333333334</v>
      </c>
      <c r="U25" s="478">
        <f t="shared" si="13"/>
        <v>14583.333333333334</v>
      </c>
      <c r="V25" s="478">
        <f t="shared" si="13"/>
        <v>14583.333333333334</v>
      </c>
      <c r="W25" s="478">
        <f t="shared" si="13"/>
        <v>14583.333333333334</v>
      </c>
      <c r="X25" s="478">
        <f t="shared" si="13"/>
        <v>14583.333333333334</v>
      </c>
      <c r="Y25" s="478">
        <f t="shared" si="13"/>
        <v>14583.333333333334</v>
      </c>
      <c r="Z25" s="478">
        <f t="shared" si="13"/>
        <v>14583.333333333334</v>
      </c>
      <c r="AA25" s="478">
        <f t="shared" si="13"/>
        <v>14583.333333333334</v>
      </c>
      <c r="AB25" s="478">
        <f t="shared" si="13"/>
        <v>14583.333333333334</v>
      </c>
    </row>
    <row r="26" spans="2:28" ht="15" customHeight="1">
      <c r="B26" s="476" t="s">
        <v>643</v>
      </c>
      <c r="C26" s="452"/>
      <c r="D26" s="452"/>
      <c r="E26" s="452"/>
      <c r="F26" s="452"/>
      <c r="G26" s="452"/>
      <c r="H26" s="452"/>
      <c r="J26" s="469"/>
      <c r="K26" s="469"/>
      <c r="L26" s="469"/>
      <c r="M26" s="469"/>
      <c r="N26" s="469"/>
      <c r="Q26" s="452"/>
      <c r="R26" s="452"/>
      <c r="S26" s="452"/>
      <c r="T26" s="452"/>
      <c r="V26" s="469"/>
      <c r="W26" s="469"/>
      <c r="X26" s="469"/>
      <c r="Y26" s="469"/>
      <c r="Z26" s="469"/>
    </row>
    <row r="27" spans="2:28" ht="15" customHeight="1">
      <c r="B27" s="480" t="s">
        <v>644</v>
      </c>
      <c r="C27" s="452"/>
      <c r="D27" s="452"/>
      <c r="E27" s="452"/>
      <c r="F27" s="452"/>
      <c r="G27" s="452"/>
      <c r="H27" s="452"/>
      <c r="J27" s="469"/>
      <c r="K27" s="469"/>
      <c r="L27" s="469"/>
      <c r="M27" s="469"/>
      <c r="N27" s="469"/>
      <c r="Q27" s="452"/>
      <c r="R27" s="452"/>
      <c r="S27" s="452"/>
      <c r="T27" s="452"/>
      <c r="V27" s="469"/>
      <c r="W27" s="469"/>
      <c r="X27" s="469"/>
      <c r="Y27" s="469"/>
      <c r="Z27" s="469"/>
    </row>
    <row r="28" spans="2:28">
      <c r="B28" s="452" t="s">
        <v>598</v>
      </c>
      <c r="C28" s="450"/>
      <c r="D28" s="452"/>
      <c r="E28" s="471">
        <f>-$C28*$E$25</f>
        <v>0</v>
      </c>
      <c r="F28" s="471">
        <f t="shared" ref="F28:P28" si="14">-$C28*F25</f>
        <v>0</v>
      </c>
      <c r="G28" s="471">
        <f t="shared" si="14"/>
        <v>0</v>
      </c>
      <c r="H28" s="471">
        <f t="shared" si="14"/>
        <v>0</v>
      </c>
      <c r="I28" s="471">
        <f t="shared" si="14"/>
        <v>0</v>
      </c>
      <c r="J28" s="471">
        <f t="shared" si="14"/>
        <v>0</v>
      </c>
      <c r="K28" s="471">
        <f t="shared" si="14"/>
        <v>0</v>
      </c>
      <c r="L28" s="471">
        <f t="shared" si="14"/>
        <v>0</v>
      </c>
      <c r="M28" s="471">
        <f t="shared" si="14"/>
        <v>0</v>
      </c>
      <c r="N28" s="471">
        <f t="shared" si="14"/>
        <v>0</v>
      </c>
      <c r="O28" s="471">
        <f t="shared" si="14"/>
        <v>0</v>
      </c>
      <c r="P28" s="471">
        <f t="shared" si="14"/>
        <v>0</v>
      </c>
      <c r="Q28" s="471">
        <f>-$C28*Q25</f>
        <v>0</v>
      </c>
      <c r="R28" s="471">
        <f t="shared" ref="R28:AB28" si="15">-$C28*R25</f>
        <v>0</v>
      </c>
      <c r="S28" s="471">
        <f t="shared" si="15"/>
        <v>0</v>
      </c>
      <c r="T28" s="471">
        <f t="shared" si="15"/>
        <v>0</v>
      </c>
      <c r="U28" s="471">
        <f t="shared" si="15"/>
        <v>0</v>
      </c>
      <c r="V28" s="471">
        <f t="shared" si="15"/>
        <v>0</v>
      </c>
      <c r="W28" s="471">
        <f t="shared" si="15"/>
        <v>0</v>
      </c>
      <c r="X28" s="471">
        <f t="shared" si="15"/>
        <v>0</v>
      </c>
      <c r="Y28" s="471">
        <f t="shared" si="15"/>
        <v>0</v>
      </c>
      <c r="Z28" s="471">
        <f t="shared" si="15"/>
        <v>0</v>
      </c>
      <c r="AA28" s="471">
        <f t="shared" si="15"/>
        <v>0</v>
      </c>
      <c r="AB28" s="471">
        <f t="shared" si="15"/>
        <v>0</v>
      </c>
    </row>
    <row r="29" spans="2:28">
      <c r="B29" s="452" t="s">
        <v>645</v>
      </c>
      <c r="C29" s="450"/>
      <c r="D29" s="452"/>
      <c r="E29" s="471">
        <f>-$C29*$E$25</f>
        <v>0</v>
      </c>
      <c r="F29" s="471">
        <f t="shared" ref="F29:P29" si="16">-$C29*F25</f>
        <v>0</v>
      </c>
      <c r="G29" s="471">
        <f t="shared" si="16"/>
        <v>0</v>
      </c>
      <c r="H29" s="471">
        <f t="shared" si="16"/>
        <v>0</v>
      </c>
      <c r="I29" s="471">
        <f t="shared" si="16"/>
        <v>0</v>
      </c>
      <c r="J29" s="471">
        <f t="shared" si="16"/>
        <v>0</v>
      </c>
      <c r="K29" s="471">
        <f t="shared" si="16"/>
        <v>0</v>
      </c>
      <c r="L29" s="471">
        <f t="shared" si="16"/>
        <v>0</v>
      </c>
      <c r="M29" s="471">
        <f t="shared" si="16"/>
        <v>0</v>
      </c>
      <c r="N29" s="471">
        <f t="shared" si="16"/>
        <v>0</v>
      </c>
      <c r="O29" s="471">
        <f t="shared" si="16"/>
        <v>0</v>
      </c>
      <c r="P29" s="471">
        <f t="shared" si="16"/>
        <v>0</v>
      </c>
      <c r="Q29" s="471">
        <f>-$C29*Q25</f>
        <v>0</v>
      </c>
      <c r="R29" s="471">
        <f t="shared" ref="R29:AB29" si="17">-$C29*R25</f>
        <v>0</v>
      </c>
      <c r="S29" s="471">
        <f t="shared" si="17"/>
        <v>0</v>
      </c>
      <c r="T29" s="471">
        <f t="shared" si="17"/>
        <v>0</v>
      </c>
      <c r="U29" s="471">
        <f t="shared" si="17"/>
        <v>0</v>
      </c>
      <c r="V29" s="471">
        <f t="shared" si="17"/>
        <v>0</v>
      </c>
      <c r="W29" s="471">
        <f t="shared" si="17"/>
        <v>0</v>
      </c>
      <c r="X29" s="471">
        <f t="shared" si="17"/>
        <v>0</v>
      </c>
      <c r="Y29" s="471">
        <f t="shared" si="17"/>
        <v>0</v>
      </c>
      <c r="Z29" s="471">
        <f t="shared" si="17"/>
        <v>0</v>
      </c>
      <c r="AA29" s="471">
        <f t="shared" si="17"/>
        <v>0</v>
      </c>
      <c r="AB29" s="471">
        <f t="shared" si="17"/>
        <v>0</v>
      </c>
    </row>
    <row r="30" spans="2:28">
      <c r="B30" s="452" t="s">
        <v>600</v>
      </c>
      <c r="C30" s="450"/>
      <c r="D30" s="452"/>
      <c r="E30" s="471">
        <f>-$C30*$E$25</f>
        <v>0</v>
      </c>
      <c r="F30" s="471">
        <f t="shared" ref="F30:P30" si="18">-$C30*F25</f>
        <v>0</v>
      </c>
      <c r="G30" s="471">
        <f t="shared" si="18"/>
        <v>0</v>
      </c>
      <c r="H30" s="471">
        <f t="shared" si="18"/>
        <v>0</v>
      </c>
      <c r="I30" s="471">
        <f t="shared" si="18"/>
        <v>0</v>
      </c>
      <c r="J30" s="471">
        <f t="shared" si="18"/>
        <v>0</v>
      </c>
      <c r="K30" s="471">
        <f t="shared" si="18"/>
        <v>0</v>
      </c>
      <c r="L30" s="471">
        <f t="shared" si="18"/>
        <v>0</v>
      </c>
      <c r="M30" s="471">
        <f t="shared" si="18"/>
        <v>0</v>
      </c>
      <c r="N30" s="471">
        <f t="shared" si="18"/>
        <v>0</v>
      </c>
      <c r="O30" s="471">
        <f t="shared" si="18"/>
        <v>0</v>
      </c>
      <c r="P30" s="471">
        <f t="shared" si="18"/>
        <v>0</v>
      </c>
      <c r="Q30" s="471">
        <f>-$C30*Q25</f>
        <v>0</v>
      </c>
      <c r="R30" s="471">
        <f t="shared" ref="R30:AB30" si="19">-$C30*R25</f>
        <v>0</v>
      </c>
      <c r="S30" s="471">
        <f t="shared" si="19"/>
        <v>0</v>
      </c>
      <c r="T30" s="471">
        <f t="shared" si="19"/>
        <v>0</v>
      </c>
      <c r="U30" s="471">
        <f t="shared" si="19"/>
        <v>0</v>
      </c>
      <c r="V30" s="471">
        <f t="shared" si="19"/>
        <v>0</v>
      </c>
      <c r="W30" s="471">
        <f t="shared" si="19"/>
        <v>0</v>
      </c>
      <c r="X30" s="471">
        <f t="shared" si="19"/>
        <v>0</v>
      </c>
      <c r="Y30" s="471">
        <f t="shared" si="19"/>
        <v>0</v>
      </c>
      <c r="Z30" s="471">
        <f t="shared" si="19"/>
        <v>0</v>
      </c>
      <c r="AA30" s="471">
        <f t="shared" si="19"/>
        <v>0</v>
      </c>
      <c r="AB30" s="471">
        <f t="shared" si="19"/>
        <v>0</v>
      </c>
    </row>
    <row r="31" spans="2:28">
      <c r="B31" s="452" t="s">
        <v>181</v>
      </c>
      <c r="C31" s="450"/>
      <c r="D31" s="452"/>
      <c r="E31" s="471">
        <f>-$C31*$E$25</f>
        <v>0</v>
      </c>
      <c r="F31" s="471">
        <f t="shared" ref="F31:T31" si="20">-$C31*$E$25</f>
        <v>0</v>
      </c>
      <c r="G31" s="471">
        <f t="shared" si="20"/>
        <v>0</v>
      </c>
      <c r="H31" s="471">
        <f t="shared" si="20"/>
        <v>0</v>
      </c>
      <c r="I31" s="471">
        <f t="shared" si="20"/>
        <v>0</v>
      </c>
      <c r="J31" s="471">
        <f t="shared" si="20"/>
        <v>0</v>
      </c>
      <c r="K31" s="471">
        <f t="shared" si="20"/>
        <v>0</v>
      </c>
      <c r="L31" s="471">
        <f t="shared" si="20"/>
        <v>0</v>
      </c>
      <c r="M31" s="471">
        <f t="shared" si="20"/>
        <v>0</v>
      </c>
      <c r="N31" s="471">
        <f t="shared" si="20"/>
        <v>0</v>
      </c>
      <c r="O31" s="471">
        <f t="shared" si="20"/>
        <v>0</v>
      </c>
      <c r="P31" s="471">
        <f t="shared" si="20"/>
        <v>0</v>
      </c>
      <c r="Q31" s="471">
        <f t="shared" si="20"/>
        <v>0</v>
      </c>
      <c r="R31" s="471">
        <f t="shared" si="20"/>
        <v>0</v>
      </c>
      <c r="S31" s="471">
        <f t="shared" si="20"/>
        <v>0</v>
      </c>
      <c r="T31" s="471">
        <f t="shared" si="20"/>
        <v>0</v>
      </c>
      <c r="U31" s="471">
        <f t="shared" ref="U31:AB31" si="21">-$C31*$E$25</f>
        <v>0</v>
      </c>
      <c r="V31" s="471">
        <f t="shared" si="21"/>
        <v>0</v>
      </c>
      <c r="W31" s="471">
        <f t="shared" si="21"/>
        <v>0</v>
      </c>
      <c r="X31" s="471">
        <f t="shared" si="21"/>
        <v>0</v>
      </c>
      <c r="Y31" s="471">
        <f t="shared" si="21"/>
        <v>0</v>
      </c>
      <c r="Z31" s="471">
        <f t="shared" si="21"/>
        <v>0</v>
      </c>
      <c r="AA31" s="471">
        <f t="shared" si="21"/>
        <v>0</v>
      </c>
      <c r="AB31" s="471">
        <f t="shared" si="21"/>
        <v>0</v>
      </c>
    </row>
    <row r="32" spans="2:28">
      <c r="B32" s="452"/>
      <c r="C32" s="452"/>
      <c r="D32" s="452"/>
      <c r="E32" s="452"/>
      <c r="F32" s="452"/>
      <c r="G32" s="452"/>
      <c r="H32" s="452"/>
      <c r="Q32" s="452"/>
      <c r="R32" s="452"/>
      <c r="S32" s="452"/>
      <c r="T32" s="452"/>
    </row>
    <row r="33" spans="2:28">
      <c r="B33" s="480" t="s">
        <v>646</v>
      </c>
      <c r="C33" s="452"/>
      <c r="D33" s="452"/>
      <c r="E33" s="452"/>
      <c r="F33" s="452"/>
      <c r="G33" s="452"/>
      <c r="H33" s="452"/>
      <c r="Q33" s="452"/>
      <c r="R33" s="452"/>
      <c r="S33" s="452"/>
      <c r="T33" s="452"/>
    </row>
    <row r="34" spans="2:28">
      <c r="B34" s="452" t="s">
        <v>647</v>
      </c>
      <c r="C34" s="450">
        <v>0</v>
      </c>
      <c r="D34" s="452"/>
      <c r="E34" s="471">
        <f>-$C34*E25</f>
        <v>0</v>
      </c>
      <c r="F34" s="471">
        <f t="shared" ref="F34:P34" si="22">-$C34*F25</f>
        <v>0</v>
      </c>
      <c r="G34" s="471">
        <f t="shared" si="22"/>
        <v>0</v>
      </c>
      <c r="H34" s="471">
        <f t="shared" si="22"/>
        <v>0</v>
      </c>
      <c r="I34" s="471">
        <f t="shared" si="22"/>
        <v>0</v>
      </c>
      <c r="J34" s="471">
        <f t="shared" si="22"/>
        <v>0</v>
      </c>
      <c r="K34" s="471">
        <f t="shared" si="22"/>
        <v>0</v>
      </c>
      <c r="L34" s="471">
        <f t="shared" si="22"/>
        <v>0</v>
      </c>
      <c r="M34" s="471">
        <f t="shared" si="22"/>
        <v>0</v>
      </c>
      <c r="N34" s="471">
        <f t="shared" si="22"/>
        <v>0</v>
      </c>
      <c r="O34" s="471">
        <f t="shared" si="22"/>
        <v>0</v>
      </c>
      <c r="P34" s="471">
        <f t="shared" si="22"/>
        <v>0</v>
      </c>
      <c r="Q34" s="471">
        <f>-$C34*Q25</f>
        <v>0</v>
      </c>
      <c r="R34" s="471">
        <f t="shared" ref="R34:AB34" si="23">-$C34*R25</f>
        <v>0</v>
      </c>
      <c r="S34" s="471">
        <f t="shared" si="23"/>
        <v>0</v>
      </c>
      <c r="T34" s="471">
        <f t="shared" si="23"/>
        <v>0</v>
      </c>
      <c r="U34" s="471">
        <f t="shared" si="23"/>
        <v>0</v>
      </c>
      <c r="V34" s="471">
        <f t="shared" si="23"/>
        <v>0</v>
      </c>
      <c r="W34" s="471">
        <f t="shared" si="23"/>
        <v>0</v>
      </c>
      <c r="X34" s="471">
        <f t="shared" si="23"/>
        <v>0</v>
      </c>
      <c r="Y34" s="471">
        <f t="shared" si="23"/>
        <v>0</v>
      </c>
      <c r="Z34" s="471">
        <f t="shared" si="23"/>
        <v>0</v>
      </c>
      <c r="AA34" s="471">
        <f t="shared" si="23"/>
        <v>0</v>
      </c>
      <c r="AB34" s="471">
        <f t="shared" si="23"/>
        <v>0</v>
      </c>
    </row>
    <row r="35" spans="2:28">
      <c r="B35" s="452" t="s">
        <v>805</v>
      </c>
      <c r="C35" s="450">
        <v>35</v>
      </c>
      <c r="D35" s="452"/>
      <c r="E35" s="452"/>
      <c r="F35" s="471">
        <f>-$C35*F25</f>
        <v>-510416.66666666669</v>
      </c>
      <c r="G35" s="471">
        <f t="shared" ref="G35:AB35" si="24">-$C35*G25</f>
        <v>-510416.66666666669</v>
      </c>
      <c r="H35" s="471">
        <f t="shared" si="24"/>
        <v>-510416.66666666669</v>
      </c>
      <c r="I35" s="471">
        <f t="shared" si="24"/>
        <v>-510416.66666666669</v>
      </c>
      <c r="J35" s="471">
        <f t="shared" si="24"/>
        <v>-510416.66666666669</v>
      </c>
      <c r="K35" s="471">
        <f t="shared" si="24"/>
        <v>-510416.66666666669</v>
      </c>
      <c r="L35" s="471">
        <f t="shared" si="24"/>
        <v>-510416.66666666669</v>
      </c>
      <c r="M35" s="471">
        <f t="shared" si="24"/>
        <v>-510416.66666666669</v>
      </c>
      <c r="N35" s="471">
        <f t="shared" si="24"/>
        <v>-510416.66666666669</v>
      </c>
      <c r="O35" s="471">
        <f t="shared" si="24"/>
        <v>-510416.66666666669</v>
      </c>
      <c r="P35" s="471">
        <f t="shared" si="24"/>
        <v>-510416.66666666669</v>
      </c>
      <c r="Q35" s="471">
        <f t="shared" si="24"/>
        <v>-510416.66666666669</v>
      </c>
      <c r="R35" s="471">
        <f t="shared" si="24"/>
        <v>-510416.66666666669</v>
      </c>
      <c r="S35" s="471">
        <f t="shared" si="24"/>
        <v>-510416.66666666669</v>
      </c>
      <c r="T35" s="471">
        <f t="shared" si="24"/>
        <v>-510416.66666666669</v>
      </c>
      <c r="U35" s="471">
        <f t="shared" si="24"/>
        <v>-510416.66666666669</v>
      </c>
      <c r="V35" s="471">
        <f t="shared" si="24"/>
        <v>-510416.66666666669</v>
      </c>
      <c r="W35" s="471">
        <f t="shared" si="24"/>
        <v>-510416.66666666669</v>
      </c>
      <c r="X35" s="471">
        <f t="shared" si="24"/>
        <v>-510416.66666666669</v>
      </c>
      <c r="Y35" s="471">
        <f t="shared" si="24"/>
        <v>-510416.66666666669</v>
      </c>
      <c r="Z35" s="471">
        <f t="shared" si="24"/>
        <v>-510416.66666666669</v>
      </c>
      <c r="AA35" s="471">
        <f t="shared" si="24"/>
        <v>-510416.66666666669</v>
      </c>
      <c r="AB35" s="471">
        <f t="shared" si="24"/>
        <v>-510416.66666666669</v>
      </c>
    </row>
    <row r="36" spans="2:28">
      <c r="B36" s="452" t="s">
        <v>808</v>
      </c>
      <c r="C36" s="450">
        <v>5</v>
      </c>
      <c r="D36" s="452"/>
      <c r="E36" s="452"/>
      <c r="F36" s="471">
        <f>-$C36*F25</f>
        <v>-72916.666666666672</v>
      </c>
      <c r="G36" s="471">
        <f t="shared" ref="G36:AB36" si="25">-$C36*G25</f>
        <v>-72916.666666666672</v>
      </c>
      <c r="H36" s="471">
        <f t="shared" si="25"/>
        <v>-72916.666666666672</v>
      </c>
      <c r="I36" s="471">
        <f t="shared" si="25"/>
        <v>-72916.666666666672</v>
      </c>
      <c r="J36" s="471">
        <f t="shared" si="25"/>
        <v>-72916.666666666672</v>
      </c>
      <c r="K36" s="471">
        <f t="shared" si="25"/>
        <v>-72916.666666666672</v>
      </c>
      <c r="L36" s="471">
        <f t="shared" si="25"/>
        <v>-72916.666666666672</v>
      </c>
      <c r="M36" s="471">
        <f t="shared" si="25"/>
        <v>-72916.666666666672</v>
      </c>
      <c r="N36" s="471">
        <f t="shared" si="25"/>
        <v>-72916.666666666672</v>
      </c>
      <c r="O36" s="471">
        <f t="shared" si="25"/>
        <v>-72916.666666666672</v>
      </c>
      <c r="P36" s="471">
        <f t="shared" si="25"/>
        <v>-72916.666666666672</v>
      </c>
      <c r="Q36" s="471">
        <f t="shared" si="25"/>
        <v>-72916.666666666672</v>
      </c>
      <c r="R36" s="471">
        <f t="shared" si="25"/>
        <v>-72916.666666666672</v>
      </c>
      <c r="S36" s="471">
        <f t="shared" si="25"/>
        <v>-72916.666666666672</v>
      </c>
      <c r="T36" s="471">
        <f t="shared" si="25"/>
        <v>-72916.666666666672</v>
      </c>
      <c r="U36" s="471">
        <f t="shared" si="25"/>
        <v>-72916.666666666672</v>
      </c>
      <c r="V36" s="471">
        <f t="shared" si="25"/>
        <v>-72916.666666666672</v>
      </c>
      <c r="W36" s="471">
        <f t="shared" si="25"/>
        <v>-72916.666666666672</v>
      </c>
      <c r="X36" s="471">
        <f t="shared" si="25"/>
        <v>-72916.666666666672</v>
      </c>
      <c r="Y36" s="471">
        <f t="shared" si="25"/>
        <v>-72916.666666666672</v>
      </c>
      <c r="Z36" s="471">
        <f t="shared" si="25"/>
        <v>-72916.666666666672</v>
      </c>
      <c r="AA36" s="471">
        <f t="shared" si="25"/>
        <v>-72916.666666666672</v>
      </c>
      <c r="AB36" s="471">
        <f t="shared" si="25"/>
        <v>-72916.666666666672</v>
      </c>
    </row>
    <row r="37" spans="2:28">
      <c r="B37" s="452" t="s">
        <v>807</v>
      </c>
      <c r="C37" s="450">
        <v>15</v>
      </c>
      <c r="D37" s="452"/>
      <c r="E37" s="452"/>
      <c r="F37" s="471">
        <f>-$C37*F25</f>
        <v>-218750</v>
      </c>
      <c r="G37" s="471">
        <f t="shared" ref="G37:AB37" si="26">-$C37*G25</f>
        <v>-218750</v>
      </c>
      <c r="H37" s="471">
        <f t="shared" si="26"/>
        <v>-218750</v>
      </c>
      <c r="I37" s="471">
        <f t="shared" si="26"/>
        <v>-218750</v>
      </c>
      <c r="J37" s="471">
        <f t="shared" si="26"/>
        <v>-218750</v>
      </c>
      <c r="K37" s="471">
        <f t="shared" si="26"/>
        <v>-218750</v>
      </c>
      <c r="L37" s="471">
        <f t="shared" si="26"/>
        <v>-218750</v>
      </c>
      <c r="M37" s="471">
        <f t="shared" si="26"/>
        <v>-218750</v>
      </c>
      <c r="N37" s="471">
        <f t="shared" si="26"/>
        <v>-218750</v>
      </c>
      <c r="O37" s="471">
        <f t="shared" si="26"/>
        <v>-218750</v>
      </c>
      <c r="P37" s="471">
        <f t="shared" si="26"/>
        <v>-218750</v>
      </c>
      <c r="Q37" s="471">
        <f t="shared" si="26"/>
        <v>-218750</v>
      </c>
      <c r="R37" s="471">
        <f t="shared" si="26"/>
        <v>-218750</v>
      </c>
      <c r="S37" s="471">
        <f t="shared" si="26"/>
        <v>-218750</v>
      </c>
      <c r="T37" s="471">
        <f t="shared" si="26"/>
        <v>-218750</v>
      </c>
      <c r="U37" s="471">
        <f t="shared" si="26"/>
        <v>-218750</v>
      </c>
      <c r="V37" s="471">
        <f t="shared" si="26"/>
        <v>-218750</v>
      </c>
      <c r="W37" s="471">
        <f t="shared" si="26"/>
        <v>-218750</v>
      </c>
      <c r="X37" s="471">
        <f t="shared" si="26"/>
        <v>-218750</v>
      </c>
      <c r="Y37" s="471">
        <f t="shared" si="26"/>
        <v>-218750</v>
      </c>
      <c r="Z37" s="471">
        <f t="shared" si="26"/>
        <v>-218750</v>
      </c>
      <c r="AA37" s="471">
        <f t="shared" si="26"/>
        <v>-218750</v>
      </c>
      <c r="AB37" s="471">
        <f t="shared" si="26"/>
        <v>-218750</v>
      </c>
    </row>
    <row r="38" spans="2:28">
      <c r="B38" s="452" t="s">
        <v>806</v>
      </c>
      <c r="C38" s="450">
        <v>10</v>
      </c>
      <c r="D38" s="452"/>
      <c r="E38" s="452"/>
      <c r="F38" s="452"/>
      <c r="G38" s="471">
        <f>-$C38*G25</f>
        <v>-145833.33333333334</v>
      </c>
      <c r="H38" s="471">
        <f t="shared" ref="H38:AB38" si="27">-$C38*H25</f>
        <v>-145833.33333333334</v>
      </c>
      <c r="I38" s="471">
        <f t="shared" si="27"/>
        <v>-145833.33333333334</v>
      </c>
      <c r="J38" s="471">
        <f t="shared" si="27"/>
        <v>-145833.33333333334</v>
      </c>
      <c r="K38" s="471">
        <f t="shared" si="27"/>
        <v>-145833.33333333334</v>
      </c>
      <c r="L38" s="471">
        <f t="shared" si="27"/>
        <v>-145833.33333333334</v>
      </c>
      <c r="M38" s="471">
        <f t="shared" si="27"/>
        <v>-145833.33333333334</v>
      </c>
      <c r="N38" s="471">
        <f t="shared" si="27"/>
        <v>-145833.33333333334</v>
      </c>
      <c r="O38" s="471">
        <f t="shared" si="27"/>
        <v>-145833.33333333334</v>
      </c>
      <c r="P38" s="471">
        <f t="shared" si="27"/>
        <v>-145833.33333333334</v>
      </c>
      <c r="Q38" s="471">
        <f t="shared" si="27"/>
        <v>-145833.33333333334</v>
      </c>
      <c r="R38" s="471">
        <f t="shared" si="27"/>
        <v>-145833.33333333334</v>
      </c>
      <c r="S38" s="471">
        <f t="shared" si="27"/>
        <v>-145833.33333333334</v>
      </c>
      <c r="T38" s="471">
        <f t="shared" si="27"/>
        <v>-145833.33333333334</v>
      </c>
      <c r="U38" s="471">
        <f t="shared" si="27"/>
        <v>-145833.33333333334</v>
      </c>
      <c r="V38" s="471">
        <f t="shared" si="27"/>
        <v>-145833.33333333334</v>
      </c>
      <c r="W38" s="471">
        <f t="shared" si="27"/>
        <v>-145833.33333333334</v>
      </c>
      <c r="X38" s="471">
        <f t="shared" si="27"/>
        <v>-145833.33333333334</v>
      </c>
      <c r="Y38" s="471">
        <f t="shared" si="27"/>
        <v>-145833.33333333334</v>
      </c>
      <c r="Z38" s="471">
        <f t="shared" si="27"/>
        <v>-145833.33333333334</v>
      </c>
      <c r="AA38" s="471">
        <f t="shared" si="27"/>
        <v>-145833.33333333334</v>
      </c>
      <c r="AB38" s="471">
        <f t="shared" si="27"/>
        <v>-145833.33333333334</v>
      </c>
    </row>
    <row r="39" spans="2:28">
      <c r="B39" s="452" t="s">
        <v>650</v>
      </c>
      <c r="C39" s="450">
        <v>0</v>
      </c>
      <c r="D39" s="452"/>
      <c r="E39" s="452"/>
      <c r="F39" s="452"/>
      <c r="G39" s="452"/>
      <c r="H39" s="471">
        <f>-$C39*H25</f>
        <v>0</v>
      </c>
      <c r="I39" s="471">
        <f t="shared" ref="I39:P39" si="28">-$C39*I25</f>
        <v>0</v>
      </c>
      <c r="J39" s="471">
        <f t="shared" si="28"/>
        <v>0</v>
      </c>
      <c r="K39" s="471">
        <f t="shared" si="28"/>
        <v>0</v>
      </c>
      <c r="L39" s="471">
        <f t="shared" si="28"/>
        <v>0</v>
      </c>
      <c r="M39" s="471">
        <f t="shared" si="28"/>
        <v>0</v>
      </c>
      <c r="N39" s="471">
        <f t="shared" si="28"/>
        <v>0</v>
      </c>
      <c r="O39" s="471">
        <f t="shared" si="28"/>
        <v>0</v>
      </c>
      <c r="P39" s="471">
        <f t="shared" si="28"/>
        <v>0</v>
      </c>
      <c r="Q39" s="471">
        <f>-$C39*Q25</f>
        <v>0</v>
      </c>
      <c r="R39" s="471">
        <f>-$C39*R25</f>
        <v>0</v>
      </c>
      <c r="S39" s="471">
        <f>-$C39*S25</f>
        <v>0</v>
      </c>
      <c r="T39" s="471">
        <f>-$C39*T25</f>
        <v>0</v>
      </c>
      <c r="U39" s="471">
        <f t="shared" ref="U39:AB39" si="29">-$C39*U25</f>
        <v>0</v>
      </c>
      <c r="V39" s="471">
        <f t="shared" si="29"/>
        <v>0</v>
      </c>
      <c r="W39" s="471">
        <f t="shared" si="29"/>
        <v>0</v>
      </c>
      <c r="X39" s="471">
        <f t="shared" si="29"/>
        <v>0</v>
      </c>
      <c r="Y39" s="471">
        <f t="shared" si="29"/>
        <v>0</v>
      </c>
      <c r="Z39" s="471">
        <f t="shared" si="29"/>
        <v>0</v>
      </c>
      <c r="AA39" s="471">
        <f t="shared" si="29"/>
        <v>0</v>
      </c>
      <c r="AB39" s="471">
        <f t="shared" si="29"/>
        <v>0</v>
      </c>
    </row>
    <row r="40" spans="2:28">
      <c r="C40" s="452"/>
      <c r="D40" s="452"/>
      <c r="E40" s="452"/>
      <c r="F40" s="452"/>
      <c r="G40" s="452"/>
      <c r="H40" s="452"/>
      <c r="Q40" s="452"/>
      <c r="R40" s="452"/>
      <c r="S40" s="452"/>
      <c r="T40" s="452"/>
    </row>
    <row r="41" spans="2:28">
      <c r="B41" s="452"/>
      <c r="C41" s="452"/>
      <c r="D41" s="452"/>
      <c r="E41" s="452"/>
      <c r="F41" s="452"/>
      <c r="G41" s="452"/>
      <c r="H41" s="452"/>
      <c r="Q41" s="452"/>
      <c r="R41" s="452"/>
      <c r="S41" s="452"/>
      <c r="T41" s="452"/>
    </row>
    <row r="42" spans="2:28">
      <c r="B42" s="480" t="s">
        <v>651</v>
      </c>
      <c r="C42" s="452"/>
      <c r="D42" s="452"/>
      <c r="E42" s="452"/>
      <c r="F42" s="452"/>
      <c r="G42" s="452"/>
      <c r="H42" s="452"/>
      <c r="Q42" s="452"/>
      <c r="R42" s="452"/>
      <c r="S42" s="452"/>
      <c r="T42" s="452"/>
    </row>
    <row r="43" spans="2:28">
      <c r="B43" s="452" t="s">
        <v>652</v>
      </c>
      <c r="C43" s="450">
        <v>1000000</v>
      </c>
      <c r="D43" s="452"/>
      <c r="E43" s="471">
        <f>-$C43/12</f>
        <v>-83333.333333333328</v>
      </c>
      <c r="F43" s="471">
        <f t="shared" ref="F43:AB43" si="30">-$C43/12</f>
        <v>-83333.333333333328</v>
      </c>
      <c r="G43" s="471">
        <f t="shared" si="30"/>
        <v>-83333.333333333328</v>
      </c>
      <c r="H43" s="471">
        <f t="shared" si="30"/>
        <v>-83333.333333333328</v>
      </c>
      <c r="I43" s="471">
        <f t="shared" si="30"/>
        <v>-83333.333333333328</v>
      </c>
      <c r="J43" s="471">
        <f t="shared" si="30"/>
        <v>-83333.333333333328</v>
      </c>
      <c r="K43" s="471">
        <f t="shared" si="30"/>
        <v>-83333.333333333328</v>
      </c>
      <c r="L43" s="471">
        <f t="shared" si="30"/>
        <v>-83333.333333333328</v>
      </c>
      <c r="M43" s="471">
        <f t="shared" si="30"/>
        <v>-83333.333333333328</v>
      </c>
      <c r="N43" s="471">
        <f t="shared" si="30"/>
        <v>-83333.333333333328</v>
      </c>
      <c r="O43" s="471">
        <f t="shared" si="30"/>
        <v>-83333.333333333328</v>
      </c>
      <c r="P43" s="471">
        <f t="shared" si="30"/>
        <v>-83333.333333333328</v>
      </c>
      <c r="Q43" s="471">
        <f t="shared" si="30"/>
        <v>-83333.333333333328</v>
      </c>
      <c r="R43" s="471">
        <f t="shared" si="30"/>
        <v>-83333.333333333328</v>
      </c>
      <c r="S43" s="471">
        <f t="shared" si="30"/>
        <v>-83333.333333333328</v>
      </c>
      <c r="T43" s="471">
        <f t="shared" si="30"/>
        <v>-83333.333333333328</v>
      </c>
      <c r="U43" s="471">
        <f t="shared" si="30"/>
        <v>-83333.333333333328</v>
      </c>
      <c r="V43" s="471">
        <f t="shared" si="30"/>
        <v>-83333.333333333328</v>
      </c>
      <c r="W43" s="471">
        <f t="shared" si="30"/>
        <v>-83333.333333333328</v>
      </c>
      <c r="X43" s="471">
        <f t="shared" si="30"/>
        <v>-83333.333333333328</v>
      </c>
      <c r="Y43" s="471">
        <f t="shared" si="30"/>
        <v>-83333.333333333328</v>
      </c>
      <c r="Z43" s="471">
        <f t="shared" si="30"/>
        <v>-83333.333333333328</v>
      </c>
      <c r="AA43" s="471">
        <f t="shared" si="30"/>
        <v>-83333.333333333328</v>
      </c>
      <c r="AB43" s="471">
        <f t="shared" si="30"/>
        <v>-83333.333333333328</v>
      </c>
    </row>
    <row r="44" spans="2:28">
      <c r="B44" s="452" t="s">
        <v>810</v>
      </c>
      <c r="C44" s="450">
        <v>500000</v>
      </c>
      <c r="D44" s="452"/>
      <c r="E44" s="471">
        <f>-$C$44/12</f>
        <v>-41666.666666666664</v>
      </c>
      <c r="F44" s="471">
        <f t="shared" ref="F44:AB44" si="31">-$C$44/12</f>
        <v>-41666.666666666664</v>
      </c>
      <c r="G44" s="471">
        <f t="shared" si="31"/>
        <v>-41666.666666666664</v>
      </c>
      <c r="H44" s="471">
        <f t="shared" si="31"/>
        <v>-41666.666666666664</v>
      </c>
      <c r="I44" s="471">
        <f t="shared" si="31"/>
        <v>-41666.666666666664</v>
      </c>
      <c r="J44" s="471">
        <f t="shared" si="31"/>
        <v>-41666.666666666664</v>
      </c>
      <c r="K44" s="471">
        <f t="shared" si="31"/>
        <v>-41666.666666666664</v>
      </c>
      <c r="L44" s="471">
        <f t="shared" si="31"/>
        <v>-41666.666666666664</v>
      </c>
      <c r="M44" s="471">
        <f t="shared" si="31"/>
        <v>-41666.666666666664</v>
      </c>
      <c r="N44" s="471">
        <f t="shared" si="31"/>
        <v>-41666.666666666664</v>
      </c>
      <c r="O44" s="471">
        <f t="shared" si="31"/>
        <v>-41666.666666666664</v>
      </c>
      <c r="P44" s="471">
        <f t="shared" si="31"/>
        <v>-41666.666666666664</v>
      </c>
      <c r="Q44" s="471">
        <f t="shared" si="31"/>
        <v>-41666.666666666664</v>
      </c>
      <c r="R44" s="471">
        <f t="shared" si="31"/>
        <v>-41666.666666666664</v>
      </c>
      <c r="S44" s="471">
        <f t="shared" si="31"/>
        <v>-41666.666666666664</v>
      </c>
      <c r="T44" s="471">
        <f t="shared" si="31"/>
        <v>-41666.666666666664</v>
      </c>
      <c r="U44" s="471">
        <f t="shared" si="31"/>
        <v>-41666.666666666664</v>
      </c>
      <c r="V44" s="471">
        <f t="shared" si="31"/>
        <v>-41666.666666666664</v>
      </c>
      <c r="W44" s="471">
        <f t="shared" si="31"/>
        <v>-41666.666666666664</v>
      </c>
      <c r="X44" s="471">
        <f t="shared" si="31"/>
        <v>-41666.666666666664</v>
      </c>
      <c r="Y44" s="471">
        <f t="shared" si="31"/>
        <v>-41666.666666666664</v>
      </c>
      <c r="Z44" s="471">
        <f t="shared" si="31"/>
        <v>-41666.666666666664</v>
      </c>
      <c r="AA44" s="471">
        <f t="shared" si="31"/>
        <v>-41666.666666666664</v>
      </c>
      <c r="AB44" s="471">
        <f t="shared" si="31"/>
        <v>-41666.666666666664</v>
      </c>
    </row>
    <row r="45" spans="2:28">
      <c r="B45" s="452" t="s">
        <v>809</v>
      </c>
      <c r="C45" s="450">
        <v>75000</v>
      </c>
      <c r="D45" s="452"/>
      <c r="E45" s="471">
        <f t="shared" ref="E45:P47" si="32">-$C45</f>
        <v>-75000</v>
      </c>
      <c r="F45" s="471">
        <f t="shared" si="32"/>
        <v>-75000</v>
      </c>
      <c r="G45" s="471">
        <f t="shared" si="32"/>
        <v>-75000</v>
      </c>
      <c r="H45" s="471">
        <f t="shared" si="32"/>
        <v>-75000</v>
      </c>
      <c r="I45" s="471">
        <f t="shared" si="32"/>
        <v>-75000</v>
      </c>
      <c r="J45" s="471">
        <f t="shared" si="32"/>
        <v>-75000</v>
      </c>
      <c r="K45" s="471">
        <f t="shared" si="32"/>
        <v>-75000</v>
      </c>
      <c r="L45" s="471">
        <f t="shared" si="32"/>
        <v>-75000</v>
      </c>
      <c r="M45" s="471">
        <f t="shared" si="32"/>
        <v>-75000</v>
      </c>
      <c r="N45" s="471">
        <f t="shared" si="32"/>
        <v>-75000</v>
      </c>
      <c r="O45" s="471">
        <f t="shared" si="32"/>
        <v>-75000</v>
      </c>
      <c r="P45" s="471">
        <f t="shared" si="32"/>
        <v>-75000</v>
      </c>
      <c r="Q45" s="471">
        <f t="shared" ref="Q45:AB47" si="33">-$C45</f>
        <v>-75000</v>
      </c>
      <c r="R45" s="471">
        <f t="shared" si="33"/>
        <v>-75000</v>
      </c>
      <c r="S45" s="471">
        <f t="shared" si="33"/>
        <v>-75000</v>
      </c>
      <c r="T45" s="471">
        <f t="shared" si="33"/>
        <v>-75000</v>
      </c>
      <c r="U45" s="471">
        <f t="shared" si="33"/>
        <v>-75000</v>
      </c>
      <c r="V45" s="471">
        <f t="shared" si="33"/>
        <v>-75000</v>
      </c>
      <c r="W45" s="471">
        <f t="shared" si="33"/>
        <v>-75000</v>
      </c>
      <c r="X45" s="471">
        <f t="shared" si="33"/>
        <v>-75000</v>
      </c>
      <c r="Y45" s="471">
        <f t="shared" si="33"/>
        <v>-75000</v>
      </c>
      <c r="Z45" s="471">
        <f t="shared" si="33"/>
        <v>-75000</v>
      </c>
      <c r="AA45" s="471">
        <f t="shared" si="33"/>
        <v>-75000</v>
      </c>
      <c r="AB45" s="471">
        <f t="shared" si="33"/>
        <v>-75000</v>
      </c>
    </row>
    <row r="46" spans="2:28">
      <c r="B46" s="452"/>
      <c r="C46" s="450">
        <v>0</v>
      </c>
      <c r="D46" s="452"/>
      <c r="E46" s="471">
        <f t="shared" si="32"/>
        <v>0</v>
      </c>
      <c r="F46" s="471">
        <f t="shared" si="32"/>
        <v>0</v>
      </c>
      <c r="G46" s="471">
        <f t="shared" si="32"/>
        <v>0</v>
      </c>
      <c r="H46" s="471">
        <f t="shared" si="32"/>
        <v>0</v>
      </c>
      <c r="I46" s="471">
        <f t="shared" si="32"/>
        <v>0</v>
      </c>
      <c r="J46" s="471">
        <f t="shared" si="32"/>
        <v>0</v>
      </c>
      <c r="K46" s="471">
        <f t="shared" si="32"/>
        <v>0</v>
      </c>
      <c r="L46" s="471">
        <f t="shared" si="32"/>
        <v>0</v>
      </c>
      <c r="M46" s="471">
        <f t="shared" si="32"/>
        <v>0</v>
      </c>
      <c r="N46" s="471">
        <f t="shared" si="32"/>
        <v>0</v>
      </c>
      <c r="O46" s="471">
        <f t="shared" si="32"/>
        <v>0</v>
      </c>
      <c r="P46" s="471">
        <f t="shared" si="32"/>
        <v>0</v>
      </c>
      <c r="Q46" s="471">
        <f t="shared" si="33"/>
        <v>0</v>
      </c>
      <c r="R46" s="471">
        <f t="shared" si="33"/>
        <v>0</v>
      </c>
      <c r="S46" s="471">
        <f t="shared" si="33"/>
        <v>0</v>
      </c>
      <c r="T46" s="471">
        <f t="shared" si="33"/>
        <v>0</v>
      </c>
      <c r="U46" s="471">
        <f t="shared" si="33"/>
        <v>0</v>
      </c>
      <c r="V46" s="471">
        <f t="shared" si="33"/>
        <v>0</v>
      </c>
      <c r="W46" s="471">
        <f t="shared" si="33"/>
        <v>0</v>
      </c>
      <c r="X46" s="471">
        <f t="shared" si="33"/>
        <v>0</v>
      </c>
      <c r="Y46" s="471">
        <f t="shared" si="33"/>
        <v>0</v>
      </c>
      <c r="Z46" s="471">
        <f t="shared" si="33"/>
        <v>0</v>
      </c>
      <c r="AA46" s="471">
        <f t="shared" si="33"/>
        <v>0</v>
      </c>
      <c r="AB46" s="471">
        <f t="shared" si="33"/>
        <v>0</v>
      </c>
    </row>
    <row r="47" spans="2:28">
      <c r="B47" s="452"/>
      <c r="C47" s="450">
        <v>0</v>
      </c>
      <c r="D47" s="452"/>
      <c r="E47" s="471">
        <f t="shared" si="32"/>
        <v>0</v>
      </c>
      <c r="F47" s="471">
        <f t="shared" si="32"/>
        <v>0</v>
      </c>
      <c r="G47" s="471">
        <f t="shared" si="32"/>
        <v>0</v>
      </c>
      <c r="H47" s="471">
        <f t="shared" si="32"/>
        <v>0</v>
      </c>
      <c r="I47" s="471">
        <f t="shared" si="32"/>
        <v>0</v>
      </c>
      <c r="J47" s="471">
        <f t="shared" si="32"/>
        <v>0</v>
      </c>
      <c r="K47" s="471">
        <f t="shared" si="32"/>
        <v>0</v>
      </c>
      <c r="L47" s="471">
        <f t="shared" si="32"/>
        <v>0</v>
      </c>
      <c r="M47" s="471">
        <f t="shared" si="32"/>
        <v>0</v>
      </c>
      <c r="N47" s="471">
        <f t="shared" si="32"/>
        <v>0</v>
      </c>
      <c r="O47" s="471">
        <f t="shared" si="32"/>
        <v>0</v>
      </c>
      <c r="P47" s="471">
        <f t="shared" si="32"/>
        <v>0</v>
      </c>
      <c r="Q47" s="471">
        <f t="shared" si="33"/>
        <v>0</v>
      </c>
      <c r="R47" s="471">
        <f t="shared" si="33"/>
        <v>0</v>
      </c>
      <c r="S47" s="471">
        <f t="shared" si="33"/>
        <v>0</v>
      </c>
      <c r="T47" s="471">
        <f t="shared" si="33"/>
        <v>0</v>
      </c>
      <c r="U47" s="471">
        <f t="shared" si="33"/>
        <v>0</v>
      </c>
      <c r="V47" s="471">
        <f t="shared" si="33"/>
        <v>0</v>
      </c>
      <c r="W47" s="471">
        <f t="shared" si="33"/>
        <v>0</v>
      </c>
      <c r="X47" s="471">
        <f t="shared" si="33"/>
        <v>0</v>
      </c>
      <c r="Y47" s="471">
        <f t="shared" si="33"/>
        <v>0</v>
      </c>
      <c r="Z47" s="471">
        <f t="shared" si="33"/>
        <v>0</v>
      </c>
      <c r="AA47" s="471">
        <f t="shared" si="33"/>
        <v>0</v>
      </c>
      <c r="AB47" s="471">
        <f t="shared" si="33"/>
        <v>0</v>
      </c>
    </row>
    <row r="48" spans="2:28">
      <c r="B48" s="452"/>
      <c r="C48" s="452"/>
      <c r="D48" s="452"/>
      <c r="E48" s="452"/>
      <c r="F48" s="452"/>
      <c r="G48" s="452"/>
      <c r="H48" s="452"/>
      <c r="Q48" s="452"/>
      <c r="R48" s="452"/>
      <c r="S48" s="452"/>
      <c r="T48" s="452"/>
    </row>
    <row r="49" spans="1:28">
      <c r="B49" s="480" t="s">
        <v>654</v>
      </c>
      <c r="C49" s="481">
        <v>0</v>
      </c>
      <c r="D49" s="452"/>
      <c r="E49" s="471">
        <f>-$C$49</f>
        <v>0</v>
      </c>
      <c r="F49" s="471">
        <f t="shared" ref="F49:AB49" si="34">-$C$49</f>
        <v>0</v>
      </c>
      <c r="G49" s="471">
        <f t="shared" si="34"/>
        <v>0</v>
      </c>
      <c r="H49" s="471">
        <f t="shared" si="34"/>
        <v>0</v>
      </c>
      <c r="I49" s="471">
        <f t="shared" si="34"/>
        <v>0</v>
      </c>
      <c r="J49" s="471">
        <f t="shared" si="34"/>
        <v>0</v>
      </c>
      <c r="K49" s="471">
        <f t="shared" si="34"/>
        <v>0</v>
      </c>
      <c r="L49" s="471">
        <f t="shared" si="34"/>
        <v>0</v>
      </c>
      <c r="M49" s="471">
        <f t="shared" si="34"/>
        <v>0</v>
      </c>
      <c r="N49" s="471">
        <f t="shared" si="34"/>
        <v>0</v>
      </c>
      <c r="O49" s="471">
        <f t="shared" si="34"/>
        <v>0</v>
      </c>
      <c r="P49" s="471">
        <f t="shared" si="34"/>
        <v>0</v>
      </c>
      <c r="Q49" s="471">
        <f>-$C$49</f>
        <v>0</v>
      </c>
      <c r="R49" s="471">
        <f t="shared" si="34"/>
        <v>0</v>
      </c>
      <c r="S49" s="471">
        <f t="shared" si="34"/>
        <v>0</v>
      </c>
      <c r="T49" s="471">
        <f t="shared" si="34"/>
        <v>0</v>
      </c>
      <c r="U49" s="471">
        <f t="shared" si="34"/>
        <v>0</v>
      </c>
      <c r="V49" s="471">
        <f t="shared" si="34"/>
        <v>0</v>
      </c>
      <c r="W49" s="471">
        <f t="shared" si="34"/>
        <v>0</v>
      </c>
      <c r="X49" s="471">
        <f t="shared" si="34"/>
        <v>0</v>
      </c>
      <c r="Y49" s="471">
        <f t="shared" si="34"/>
        <v>0</v>
      </c>
      <c r="Z49" s="471">
        <f t="shared" si="34"/>
        <v>0</v>
      </c>
      <c r="AA49" s="471">
        <f t="shared" si="34"/>
        <v>0</v>
      </c>
      <c r="AB49" s="471">
        <f t="shared" si="34"/>
        <v>0</v>
      </c>
    </row>
    <row r="50" spans="1:28">
      <c r="B50" s="452" t="s">
        <v>655</v>
      </c>
      <c r="C50" s="450">
        <v>0</v>
      </c>
      <c r="D50" s="452"/>
      <c r="E50" s="452"/>
      <c r="F50" s="452"/>
      <c r="G50" s="452"/>
      <c r="H50" s="452"/>
      <c r="Q50" s="452"/>
      <c r="R50" s="452"/>
      <c r="S50" s="452"/>
      <c r="T50" s="452"/>
    </row>
    <row r="51" spans="1:28">
      <c r="B51" s="452" t="s">
        <v>656</v>
      </c>
      <c r="C51" s="450">
        <v>0</v>
      </c>
      <c r="D51" s="452"/>
      <c r="E51" s="452"/>
      <c r="F51" s="452"/>
      <c r="G51" s="452"/>
      <c r="H51" s="452"/>
      <c r="Q51" s="452"/>
      <c r="R51" s="452"/>
      <c r="S51" s="452"/>
      <c r="T51" s="452"/>
    </row>
    <row r="52" spans="1:28">
      <c r="B52" s="452"/>
      <c r="C52" s="452"/>
      <c r="D52" s="452"/>
      <c r="E52" s="452"/>
      <c r="F52" s="452"/>
      <c r="G52" s="452"/>
      <c r="H52" s="452"/>
      <c r="Q52" s="452"/>
      <c r="R52" s="452"/>
      <c r="S52" s="452"/>
      <c r="T52" s="452"/>
    </row>
    <row r="53" spans="1:28">
      <c r="B53" s="452" t="s">
        <v>176</v>
      </c>
      <c r="C53" s="452"/>
      <c r="D53" s="452"/>
      <c r="E53" s="482">
        <f>SUM(E23,E28:E31,E34:E40,E43:E47,E49:E51)</f>
        <v>440.625</v>
      </c>
      <c r="F53" s="483">
        <f>SUM(F28:F52)+F23</f>
        <v>-400761.45833333337</v>
      </c>
      <c r="G53" s="483">
        <f t="shared" ref="G53:AB53" si="35">SUM(G28:G52)+G23</f>
        <v>914906.77083333326</v>
      </c>
      <c r="H53" s="483">
        <f t="shared" si="35"/>
        <v>914906.77083333326</v>
      </c>
      <c r="I53" s="483">
        <f t="shared" si="35"/>
        <v>914906.77083333326</v>
      </c>
      <c r="J53" s="483">
        <f t="shared" si="35"/>
        <v>914906.77083333326</v>
      </c>
      <c r="K53" s="483">
        <f t="shared" si="35"/>
        <v>914906.77083333326</v>
      </c>
      <c r="L53" s="483">
        <f t="shared" si="35"/>
        <v>914906.77083333326</v>
      </c>
      <c r="M53" s="483">
        <f t="shared" si="35"/>
        <v>914906.77083333326</v>
      </c>
      <c r="N53" s="483">
        <f t="shared" si="35"/>
        <v>914906.77083333326</v>
      </c>
      <c r="O53" s="483">
        <f t="shared" si="35"/>
        <v>914906.77083333326</v>
      </c>
      <c r="P53" s="483">
        <f t="shared" si="35"/>
        <v>914906.77083333326</v>
      </c>
      <c r="Q53" s="483">
        <f t="shared" si="35"/>
        <v>90795070.833333328</v>
      </c>
      <c r="R53" s="483">
        <f t="shared" si="35"/>
        <v>90795070.833333328</v>
      </c>
      <c r="S53" s="483">
        <f t="shared" si="35"/>
        <v>90795070.833333328</v>
      </c>
      <c r="T53" s="483">
        <f t="shared" si="35"/>
        <v>90795070.833333328</v>
      </c>
      <c r="U53" s="483">
        <f t="shared" si="35"/>
        <v>90795070.833333328</v>
      </c>
      <c r="V53" s="483">
        <f t="shared" si="35"/>
        <v>90795070.833333328</v>
      </c>
      <c r="W53" s="483">
        <f t="shared" si="35"/>
        <v>90795070.833333328</v>
      </c>
      <c r="X53" s="483">
        <f t="shared" si="35"/>
        <v>90795070.833333328</v>
      </c>
      <c r="Y53" s="483">
        <f t="shared" si="35"/>
        <v>90795070.833333328</v>
      </c>
      <c r="Z53" s="483">
        <f t="shared" si="35"/>
        <v>90795070.833333328</v>
      </c>
      <c r="AA53" s="483">
        <f t="shared" si="35"/>
        <v>90795070.833333328</v>
      </c>
      <c r="AB53" s="483">
        <f t="shared" si="35"/>
        <v>90795070.833333328</v>
      </c>
    </row>
    <row r="54" spans="1:28">
      <c r="B54" s="484" t="s">
        <v>657</v>
      </c>
      <c r="C54" s="485"/>
      <c r="D54" s="486"/>
      <c r="E54" s="627">
        <f>E53</f>
        <v>440.625</v>
      </c>
      <c r="F54" s="628">
        <f>E54+F53</f>
        <v>-400320.83333333337</v>
      </c>
      <c r="G54" s="628">
        <f t="shared" ref="G54:O54" si="36">F54+G53</f>
        <v>514585.93749999988</v>
      </c>
      <c r="H54" s="628">
        <f t="shared" si="36"/>
        <v>1429492.708333333</v>
      </c>
      <c r="I54" s="628">
        <f t="shared" si="36"/>
        <v>2344399.479166666</v>
      </c>
      <c r="J54" s="628">
        <f t="shared" si="36"/>
        <v>3259306.2499999991</v>
      </c>
      <c r="K54" s="628">
        <f t="shared" si="36"/>
        <v>4174213.0208333321</v>
      </c>
      <c r="L54" s="628">
        <f t="shared" si="36"/>
        <v>5089119.7916666651</v>
      </c>
      <c r="M54" s="628">
        <f t="shared" si="36"/>
        <v>6004026.5624999981</v>
      </c>
      <c r="N54" s="628">
        <f t="shared" si="36"/>
        <v>6918933.3333333312</v>
      </c>
      <c r="O54" s="628">
        <f t="shared" si="36"/>
        <v>7833840.1041666642</v>
      </c>
      <c r="P54" s="628">
        <f>O54+P53</f>
        <v>8748746.8749999981</v>
      </c>
      <c r="Q54" s="627">
        <f>P54+Q53</f>
        <v>99543817.708333328</v>
      </c>
      <c r="R54" s="628">
        <f>Q54+R53</f>
        <v>190338888.54166666</v>
      </c>
      <c r="S54" s="628">
        <f t="shared" ref="S54:AB54" si="37">R54+S53</f>
        <v>281133959.375</v>
      </c>
      <c r="T54" s="628">
        <f t="shared" si="37"/>
        <v>371929030.20833331</v>
      </c>
      <c r="U54" s="628">
        <f t="shared" si="37"/>
        <v>462724101.04166663</v>
      </c>
      <c r="V54" s="628">
        <f t="shared" si="37"/>
        <v>553519171.875</v>
      </c>
      <c r="W54" s="628">
        <f t="shared" si="37"/>
        <v>644314242.70833337</v>
      </c>
      <c r="X54" s="628">
        <f t="shared" si="37"/>
        <v>735109313.54166675</v>
      </c>
      <c r="Y54" s="628">
        <f t="shared" si="37"/>
        <v>825904384.37500012</v>
      </c>
      <c r="Z54" s="628">
        <f t="shared" si="37"/>
        <v>916699455.20833349</v>
      </c>
      <c r="AA54" s="628">
        <f t="shared" si="37"/>
        <v>1007494526.0416669</v>
      </c>
      <c r="AB54" s="628">
        <f t="shared" si="37"/>
        <v>1098289596.8750002</v>
      </c>
    </row>
    <row r="58" spans="1:28">
      <c r="A58" s="384" t="s">
        <v>658</v>
      </c>
      <c r="E58" s="469"/>
      <c r="F58" s="490"/>
    </row>
    <row r="59" spans="1:28">
      <c r="E59" s="469"/>
      <c r="F59" s="490"/>
    </row>
    <row r="60" spans="1:28" ht="14.25">
      <c r="E60" s="626" t="s">
        <v>659</v>
      </c>
      <c r="F60" s="492">
        <f>MIN(E54:AB54)</f>
        <v>-400320.83333333337</v>
      </c>
      <c r="G60" s="384" t="s">
        <v>660</v>
      </c>
    </row>
    <row r="61" spans="1:28">
      <c r="E61" s="469"/>
      <c r="F61" s="490"/>
    </row>
    <row r="62" spans="1:28" ht="15" customHeight="1">
      <c r="F62" s="493"/>
      <c r="G62" s="384" t="s">
        <v>661</v>
      </c>
    </row>
    <row r="63" spans="1:28" ht="15" customHeight="1">
      <c r="G63" s="384" t="s">
        <v>662</v>
      </c>
    </row>
    <row r="64" spans="1:28" ht="15" customHeight="1">
      <c r="G64" s="384" t="s">
        <v>663</v>
      </c>
    </row>
    <row r="67" spans="2:11" ht="15" customHeight="1">
      <c r="B67" s="384" t="s">
        <v>664</v>
      </c>
      <c r="F67" s="1728" t="s">
        <v>665</v>
      </c>
      <c r="G67" s="1728"/>
      <c r="H67" s="1728"/>
      <c r="I67" s="1728"/>
      <c r="J67" s="1728"/>
    </row>
    <row r="68" spans="2:11" ht="15" customHeight="1" thickBot="1">
      <c r="B68" s="494" t="s">
        <v>666</v>
      </c>
      <c r="C68" s="494"/>
      <c r="D68" s="494"/>
      <c r="E68" s="495"/>
      <c r="F68" s="449" t="s">
        <v>667</v>
      </c>
      <c r="G68" s="494"/>
      <c r="H68" s="494"/>
      <c r="I68" s="494"/>
      <c r="J68" s="494"/>
    </row>
    <row r="69" spans="2:11" ht="15" customHeight="1" thickTop="1" thickBot="1">
      <c r="B69" s="494" t="s">
        <v>668</v>
      </c>
      <c r="C69" s="494"/>
      <c r="D69" s="496">
        <v>120000</v>
      </c>
      <c r="F69" s="494" t="s">
        <v>427</v>
      </c>
      <c r="G69" s="494" t="s">
        <v>177</v>
      </c>
      <c r="H69" s="494" t="s">
        <v>669</v>
      </c>
      <c r="I69" s="494" t="s">
        <v>670</v>
      </c>
      <c r="J69" s="494" t="s">
        <v>671</v>
      </c>
    </row>
    <row r="70" spans="2:11" ht="15" customHeight="1" thickTop="1" thickBot="1">
      <c r="B70" s="494" t="s">
        <v>672</v>
      </c>
      <c r="C70" s="494"/>
      <c r="D70" s="496">
        <v>100000</v>
      </c>
      <c r="F70" s="494">
        <v>0</v>
      </c>
      <c r="G70" s="496">
        <v>0</v>
      </c>
      <c r="H70" s="497">
        <v>0</v>
      </c>
      <c r="I70" s="498">
        <v>0</v>
      </c>
      <c r="J70" s="499">
        <f>F60</f>
        <v>-400320.83333333337</v>
      </c>
      <c r="K70" s="419" t="s">
        <v>673</v>
      </c>
    </row>
    <row r="71" spans="2:11" ht="15" customHeight="1" thickTop="1" thickBot="1">
      <c r="B71" s="494" t="s">
        <v>674</v>
      </c>
      <c r="C71" s="494"/>
      <c r="D71" s="496">
        <v>80000</v>
      </c>
      <c r="F71" s="494">
        <v>1</v>
      </c>
      <c r="G71" s="384">
        <v>175000</v>
      </c>
      <c r="H71" s="497">
        <v>0</v>
      </c>
      <c r="I71" s="498">
        <f>J70</f>
        <v>-400320.83333333337</v>
      </c>
      <c r="J71" s="500">
        <f>I71*H72</f>
        <v>-5718.8690476190277</v>
      </c>
    </row>
    <row r="72" spans="2:11" ht="15" customHeight="1" thickTop="1" thickBot="1">
      <c r="B72" s="494" t="s">
        <v>676</v>
      </c>
      <c r="C72" s="494"/>
      <c r="D72" s="496">
        <v>630000</v>
      </c>
      <c r="F72" s="494">
        <v>2</v>
      </c>
      <c r="G72" s="384">
        <v>177500</v>
      </c>
      <c r="H72" s="497">
        <f>G72/G71-1</f>
        <v>1.4285714285714235E-2</v>
      </c>
      <c r="I72" s="498">
        <f>I71+J71</f>
        <v>-406039.70238095243</v>
      </c>
      <c r="J72" s="500">
        <f>I72*H73</f>
        <v>12581.51190476189</v>
      </c>
    </row>
    <row r="73" spans="2:11" ht="15" customHeight="1" thickTop="1" thickBot="1">
      <c r="B73" s="501"/>
      <c r="C73" s="501" t="s">
        <v>677</v>
      </c>
      <c r="D73" s="496">
        <f>(D69-D70)*(D72/D71)</f>
        <v>157500</v>
      </c>
      <c r="F73" s="494">
        <v>3</v>
      </c>
      <c r="G73" s="384">
        <v>172000</v>
      </c>
      <c r="H73" s="497">
        <f>G73/G72-1</f>
        <v>-3.0985915492957705E-2</v>
      </c>
      <c r="I73" s="498">
        <f>I72+J72</f>
        <v>-393458.19047619053</v>
      </c>
      <c r="J73" s="500">
        <f>I73*H74</f>
        <v>-1143.7738095238117</v>
      </c>
    </row>
    <row r="74" spans="2:11" ht="15" customHeight="1" thickTop="1">
      <c r="F74" s="494">
        <v>4</v>
      </c>
      <c r="G74" s="384">
        <v>172500</v>
      </c>
      <c r="H74" s="497">
        <f>G74/G73-1</f>
        <v>2.9069767441860517E-3</v>
      </c>
      <c r="I74" s="498">
        <f>I73+J73</f>
        <v>-394601.96428571432</v>
      </c>
      <c r="J74" s="500">
        <f>I74*H75</f>
        <v>3431.3214285714089</v>
      </c>
    </row>
    <row r="75" spans="2:11" ht="15" customHeight="1">
      <c r="F75" s="494">
        <v>5</v>
      </c>
      <c r="G75" s="384">
        <v>171000</v>
      </c>
      <c r="H75" s="497">
        <f>G75/G74-1</f>
        <v>-8.6956521739129933E-3</v>
      </c>
      <c r="I75" s="498">
        <f>I74+J74</f>
        <v>-391170.6428571429</v>
      </c>
      <c r="J75" s="500">
        <f>I75*H76</f>
        <v>0</v>
      </c>
    </row>
    <row r="76" spans="2:11" ht="15" customHeight="1">
      <c r="G76" s="419" t="s">
        <v>678</v>
      </c>
    </row>
    <row r="81" spans="2:13" ht="15" customHeight="1" thickBot="1"/>
    <row r="82" spans="2:13" ht="15" customHeight="1" thickBot="1">
      <c r="B82" s="1729" t="s">
        <v>679</v>
      </c>
      <c r="C82" s="1730"/>
      <c r="D82" s="1730"/>
      <c r="E82" s="1730"/>
      <c r="F82" s="1731"/>
    </row>
    <row r="83" spans="2:13" ht="15" customHeight="1">
      <c r="B83" s="502" t="s">
        <v>680</v>
      </c>
      <c r="C83" s="503" t="s">
        <v>681</v>
      </c>
      <c r="D83" s="503" t="s">
        <v>682</v>
      </c>
      <c r="E83" s="503" t="s">
        <v>683</v>
      </c>
      <c r="F83" s="504" t="s">
        <v>684</v>
      </c>
    </row>
    <row r="84" spans="2:13" ht="15" customHeight="1">
      <c r="B84" s="505" t="s">
        <v>685</v>
      </c>
      <c r="C84" s="506">
        <v>1</v>
      </c>
      <c r="D84" s="507">
        <v>330000</v>
      </c>
      <c r="E84" s="508">
        <v>0.4</v>
      </c>
      <c r="F84" s="509">
        <f>D84*(1+E84)*13*C84</f>
        <v>6005999.9999999991</v>
      </c>
    </row>
    <row r="85" spans="2:13" ht="15" customHeight="1">
      <c r="B85" s="505" t="s">
        <v>686</v>
      </c>
      <c r="C85" s="506">
        <v>4</v>
      </c>
      <c r="D85" s="507">
        <v>170000</v>
      </c>
      <c r="E85" s="510">
        <v>0.4</v>
      </c>
      <c r="F85" s="509">
        <f>D85*(1+E85)*13*C85</f>
        <v>12375999.999999998</v>
      </c>
    </row>
    <row r="86" spans="2:13" ht="15" customHeight="1" thickBot="1">
      <c r="B86" s="511"/>
      <c r="C86" s="512"/>
      <c r="D86" s="513"/>
      <c r="E86" s="512"/>
      <c r="F86" s="514">
        <f>D86*(1+E86)*13*C86</f>
        <v>0</v>
      </c>
    </row>
    <row r="87" spans="2:13" ht="15" customHeight="1" thickBot="1">
      <c r="C87" s="515"/>
      <c r="D87" s="515"/>
      <c r="E87" s="516" t="s">
        <v>176</v>
      </c>
      <c r="F87" s="517">
        <f>SUM(F84:F86)</f>
        <v>18381999.999999996</v>
      </c>
    </row>
    <row r="88" spans="2:13" ht="15" customHeight="1" thickBot="1"/>
    <row r="89" spans="2:13" ht="15" customHeight="1" thickBot="1">
      <c r="B89" s="1732" t="s">
        <v>576</v>
      </c>
      <c r="C89" s="1733"/>
      <c r="D89" s="1733"/>
      <c r="E89" s="1733"/>
      <c r="F89" s="1733"/>
      <c r="G89" s="1733"/>
      <c r="H89" s="1733"/>
      <c r="I89" s="1733"/>
      <c r="J89" s="1733"/>
      <c r="K89" s="1734"/>
    </row>
    <row r="90" spans="2:13" ht="15" customHeight="1">
      <c r="B90" s="518" t="s">
        <v>577</v>
      </c>
      <c r="C90" s="519" t="s">
        <v>578</v>
      </c>
      <c r="D90" s="520" t="s">
        <v>579</v>
      </c>
      <c r="E90" s="520" t="s">
        <v>102</v>
      </c>
      <c r="F90" s="520" t="s">
        <v>580</v>
      </c>
      <c r="G90" s="520" t="s">
        <v>581</v>
      </c>
      <c r="H90" s="520" t="s">
        <v>582</v>
      </c>
      <c r="I90" s="521" t="s">
        <v>583</v>
      </c>
      <c r="J90" s="522" t="s">
        <v>584</v>
      </c>
      <c r="K90" s="518" t="s">
        <v>585</v>
      </c>
      <c r="M90" s="518" t="s">
        <v>586</v>
      </c>
    </row>
    <row r="91" spans="2:13" ht="15" customHeight="1">
      <c r="B91" s="523" t="s">
        <v>587</v>
      </c>
      <c r="C91" s="524">
        <v>580</v>
      </c>
      <c r="D91" s="506" t="s">
        <v>519</v>
      </c>
      <c r="E91" s="525"/>
      <c r="F91" s="525">
        <v>0.2</v>
      </c>
      <c r="G91" s="526">
        <f>1-F91</f>
        <v>0.8</v>
      </c>
      <c r="H91" s="527">
        <f>C91/G91</f>
        <v>725</v>
      </c>
      <c r="I91" s="506">
        <v>5</v>
      </c>
      <c r="J91" s="528">
        <f>I91*H91*(1+E91)</f>
        <v>3625</v>
      </c>
      <c r="K91" s="1735">
        <f>SUM(J91:J95)</f>
        <v>4354.5</v>
      </c>
      <c r="L91" s="1717" t="s">
        <v>588</v>
      </c>
      <c r="M91" s="1718">
        <f>SUM(K91,L95)</f>
        <v>4554.5</v>
      </c>
    </row>
    <row r="92" spans="2:13" ht="15" customHeight="1">
      <c r="B92" s="523" t="s">
        <v>589</v>
      </c>
      <c r="C92" s="524">
        <v>100</v>
      </c>
      <c r="D92" s="506" t="s">
        <v>519</v>
      </c>
      <c r="E92" s="525">
        <v>0.1</v>
      </c>
      <c r="F92" s="525"/>
      <c r="G92" s="526">
        <f>1-F92</f>
        <v>1</v>
      </c>
      <c r="H92" s="527">
        <f>C92/G92</f>
        <v>100</v>
      </c>
      <c r="I92" s="526">
        <v>1</v>
      </c>
      <c r="J92" s="528">
        <f>I92*C92*(1+E92)</f>
        <v>110.00000000000001</v>
      </c>
      <c r="K92" s="1736"/>
      <c r="L92" s="1717"/>
      <c r="M92" s="1718"/>
    </row>
    <row r="93" spans="2:13" ht="15" customHeight="1">
      <c r="B93" s="523" t="s">
        <v>590</v>
      </c>
      <c r="C93" s="524">
        <v>150</v>
      </c>
      <c r="D93" s="506" t="s">
        <v>591</v>
      </c>
      <c r="E93" s="525"/>
      <c r="F93" s="525"/>
      <c r="G93" s="526">
        <f>1-F93</f>
        <v>1</v>
      </c>
      <c r="H93" s="527">
        <f>C93/G93</f>
        <v>150</v>
      </c>
      <c r="I93" s="506">
        <v>0.35</v>
      </c>
      <c r="J93" s="528">
        <f>I93*C93*(1+E93)</f>
        <v>52.5</v>
      </c>
      <c r="K93" s="1736"/>
      <c r="L93" s="1717"/>
      <c r="M93" s="1718"/>
    </row>
    <row r="94" spans="2:13" ht="15" customHeight="1">
      <c r="B94" s="523" t="s">
        <v>592</v>
      </c>
      <c r="C94" s="524">
        <v>63</v>
      </c>
      <c r="D94" s="506" t="s">
        <v>591</v>
      </c>
      <c r="E94" s="525"/>
      <c r="F94" s="525"/>
      <c r="G94" s="526">
        <f>1-F94</f>
        <v>1</v>
      </c>
      <c r="H94" s="527">
        <f>C94/G94</f>
        <v>63</v>
      </c>
      <c r="I94" s="506">
        <v>8</v>
      </c>
      <c r="J94" s="528">
        <f>I94*C94*(1+E94)</f>
        <v>504</v>
      </c>
      <c r="K94" s="1736"/>
      <c r="L94" s="1717"/>
      <c r="M94" s="1718"/>
    </row>
    <row r="95" spans="2:13" ht="15" customHeight="1" thickBot="1">
      <c r="B95" s="529" t="s">
        <v>593</v>
      </c>
      <c r="C95" s="530">
        <v>63</v>
      </c>
      <c r="D95" s="512" t="s">
        <v>594</v>
      </c>
      <c r="E95" s="531"/>
      <c r="F95" s="531"/>
      <c r="G95" s="526">
        <f>1-F95</f>
        <v>1</v>
      </c>
      <c r="H95" s="527">
        <f>C95/G95</f>
        <v>63</v>
      </c>
      <c r="I95" s="512">
        <v>1</v>
      </c>
      <c r="J95" s="528">
        <f>I95*C95*(1+E95)</f>
        <v>63</v>
      </c>
      <c r="K95" s="1737"/>
      <c r="L95" s="532">
        <v>200</v>
      </c>
      <c r="M95" s="1718"/>
    </row>
    <row r="96" spans="2:13" ht="15" customHeight="1">
      <c r="C96" s="419" t="s">
        <v>595</v>
      </c>
      <c r="E96" s="1719" t="s">
        <v>596</v>
      </c>
      <c r="F96" s="1720"/>
      <c r="I96" s="419" t="s">
        <v>595</v>
      </c>
      <c r="L96" s="419" t="s">
        <v>597</v>
      </c>
    </row>
  </sheetData>
  <mergeCells count="12">
    <mergeCell ref="E96:F96"/>
    <mergeCell ref="B2:C4"/>
    <mergeCell ref="E5:P5"/>
    <mergeCell ref="Q5:AB5"/>
    <mergeCell ref="E20:P20"/>
    <mergeCell ref="Q20:AB20"/>
    <mergeCell ref="F67:J67"/>
    <mergeCell ref="B82:F82"/>
    <mergeCell ref="B89:K89"/>
    <mergeCell ref="K91:K95"/>
    <mergeCell ref="L91:L94"/>
    <mergeCell ref="M91:M95"/>
  </mergeCells>
  <conditionalFormatting sqref="B82">
    <cfRule type="containsText" dxfId="23" priority="1" operator="containsText" text="999">
      <formula>NOT(ISERROR(SEARCH(("999"),(B82))))</formula>
    </cfRule>
  </conditionalFormatting>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6CDC4-47DF-4CFA-8CAA-60A78DFE3A75}">
  <dimension ref="A2:Y203"/>
  <sheetViews>
    <sheetView topLeftCell="A16" workbookViewId="0">
      <selection activeCell="G97" sqref="G97"/>
    </sheetView>
  </sheetViews>
  <sheetFormatPr defaultRowHeight="12.75"/>
  <cols>
    <col min="1" max="1" width="13.140625" customWidth="1"/>
    <col min="3" max="3" width="35.42578125" bestFit="1" customWidth="1"/>
    <col min="4" max="4" width="37.28515625" bestFit="1" customWidth="1"/>
    <col min="5" max="5" width="19.5703125" customWidth="1"/>
    <col min="6" max="6" width="23.140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c r="N13" s="597" t="s">
        <v>506</v>
      </c>
      <c r="O13" s="351"/>
    </row>
    <row r="14" spans="1:15">
      <c r="M14" s="596"/>
      <c r="N14" s="597" t="s">
        <v>507</v>
      </c>
      <c r="O14" s="351"/>
    </row>
    <row r="15" spans="1:15">
      <c r="M15" s="596"/>
      <c r="N15" s="597" t="s">
        <v>764</v>
      </c>
      <c r="O15" s="351"/>
    </row>
    <row r="16" spans="1:15">
      <c r="M16" s="598"/>
      <c r="N16" s="597" t="s">
        <v>765</v>
      </c>
    </row>
    <row r="20" spans="12:20" ht="127.5" customHeight="1">
      <c r="L20" s="1786" t="s">
        <v>1117</v>
      </c>
      <c r="M20" s="1786"/>
      <c r="N20" s="1786"/>
      <c r="O20" s="1786"/>
    </row>
    <row r="21" spans="12:20">
      <c r="N21" s="351"/>
      <c r="O21" s="351"/>
      <c r="P21" s="351"/>
      <c r="R21" s="351"/>
    </row>
    <row r="22" spans="12:20">
      <c r="M22" s="351"/>
      <c r="O22" s="351"/>
      <c r="P22" s="208"/>
      <c r="R22" s="705"/>
    </row>
    <row r="23" spans="12:20">
      <c r="M23" s="351"/>
      <c r="O23" s="351"/>
      <c r="P23" s="208"/>
    </row>
    <row r="24" spans="12:20">
      <c r="M24" s="351"/>
      <c r="N24" s="351"/>
      <c r="O24" s="351"/>
      <c r="P24" s="208"/>
    </row>
    <row r="25" spans="12:20">
      <c r="M25" s="351"/>
      <c r="N25" s="351"/>
      <c r="O25" s="351"/>
      <c r="P25" s="208"/>
    </row>
    <row r="26" spans="12:20">
      <c r="M26" s="351"/>
      <c r="P26" s="208"/>
    </row>
    <row r="27" spans="12:20">
      <c r="M27" s="351"/>
      <c r="P27" s="208"/>
    </row>
    <row r="28" spans="12:20">
      <c r="M28" s="351"/>
    </row>
    <row r="30" spans="12:20">
      <c r="M30" s="1755"/>
      <c r="N30" s="1714"/>
      <c r="Q30" s="351"/>
      <c r="S30" s="351"/>
    </row>
    <row r="31" spans="12:20">
      <c r="M31" s="700"/>
      <c r="N31" s="700"/>
      <c r="Q31" s="351"/>
    </row>
    <row r="32" spans="12:20">
      <c r="M32" s="702"/>
      <c r="N32" s="702"/>
      <c r="Q32" s="351"/>
      <c r="R32" s="695"/>
      <c r="S32" s="706"/>
      <c r="T32" s="351"/>
    </row>
    <row r="34" spans="13:21">
      <c r="M34" s="351"/>
    </row>
    <row r="35" spans="13:21">
      <c r="O35" s="1755"/>
      <c r="P35" s="1714"/>
      <c r="Q35" s="1714"/>
      <c r="R35" s="1714"/>
      <c r="S35" s="1714"/>
    </row>
    <row r="36" spans="13:21">
      <c r="O36" s="700"/>
      <c r="P36" s="700"/>
      <c r="Q36" s="700"/>
      <c r="R36" s="700"/>
      <c r="S36" s="700"/>
    </row>
    <row r="37" spans="13:21">
      <c r="O37" s="702"/>
      <c r="P37" s="702"/>
      <c r="Q37" s="702"/>
      <c r="R37" s="702"/>
      <c r="S37" s="702"/>
    </row>
    <row r="41" spans="13:21">
      <c r="M41" s="1755"/>
      <c r="N41" s="1755"/>
      <c r="O41" s="1755"/>
      <c r="P41" s="701"/>
      <c r="Q41" s="701"/>
      <c r="R41" s="701"/>
      <c r="S41" s="701"/>
      <c r="T41" s="300"/>
      <c r="U41" s="301"/>
    </row>
    <row r="42" spans="13:21">
      <c r="M42" s="1755"/>
      <c r="N42" s="1714"/>
      <c r="O42" s="1714"/>
    </row>
    <row r="43" spans="13:21">
      <c r="M43" s="700"/>
      <c r="N43" s="700"/>
      <c r="O43" s="700"/>
    </row>
    <row r="44" spans="13:21">
      <c r="M44" s="703"/>
      <c r="N44" s="702"/>
      <c r="O44" s="702"/>
    </row>
    <row r="45" spans="13:21">
      <c r="M45" s="1755"/>
      <c r="N45" s="1714"/>
      <c r="O45" s="1714"/>
    </row>
    <row r="46" spans="13:21">
      <c r="M46" s="700"/>
      <c r="N46" s="701"/>
      <c r="O46" s="701"/>
    </row>
    <row r="47" spans="13:21">
      <c r="M47" s="700"/>
      <c r="N47" s="701"/>
      <c r="O47" s="701"/>
    </row>
    <row r="48" spans="13: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M57" s="731" t="s">
        <v>832</v>
      </c>
      <c r="N57" s="583"/>
      <c r="U57" s="4"/>
      <c r="V57" s="547"/>
      <c r="W57" s="548"/>
    </row>
    <row r="58" spans="4:23" ht="14.25">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c r="P63" s="585"/>
      <c r="Q63" s="585"/>
      <c r="R63" s="585"/>
      <c r="S63" s="585"/>
      <c r="T63" s="585"/>
      <c r="U63" s="4"/>
      <c r="V63" s="549"/>
    </row>
    <row r="64" spans="4:23" ht="14.25">
      <c r="D64" s="1789"/>
      <c r="E64" s="686" t="s">
        <v>632</v>
      </c>
      <c r="F64" s="687">
        <v>0.3</v>
      </c>
      <c r="G64" s="688">
        <f>G62*0.8*F64</f>
        <v>168000</v>
      </c>
      <c r="H64" s="768"/>
      <c r="I64" s="408" t="s">
        <v>177</v>
      </c>
      <c r="J64" s="1601">
        <f>G63</f>
        <v>140000</v>
      </c>
      <c r="K64" s="1601">
        <f>G64</f>
        <v>168000</v>
      </c>
      <c r="L64" s="1601">
        <f>G65</f>
        <v>117600</v>
      </c>
      <c r="M64" s="1601">
        <f>G66</f>
        <v>82320</v>
      </c>
      <c r="N64" s="1601">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H70</f>
        <v>8502.8571428571431</v>
      </c>
      <c r="K67" s="693">
        <f>J67*(1+K66)</f>
        <v>6613.3333333333339</v>
      </c>
      <c r="L67" s="692">
        <f>K67*(1+L66)</f>
        <v>8817.7777777777774</v>
      </c>
      <c r="M67" s="692">
        <f>L67*(1+M66)</f>
        <v>11757.037037037036</v>
      </c>
      <c r="N67" s="692">
        <f>M67*(1+N66)</f>
        <v>15676.049382716048</v>
      </c>
      <c r="U67" s="551"/>
      <c r="V67" s="552"/>
      <c r="W67" s="552"/>
      <c r="X67" s="552"/>
      <c r="Y67" s="553"/>
    </row>
    <row r="68" spans="1:25" ht="15" customHeight="1">
      <c r="D68" s="1595"/>
      <c r="E68" s="1596"/>
      <c r="F68" s="1597"/>
      <c r="G68" s="1598"/>
      <c r="H68" s="768"/>
      <c r="I68" s="1778" t="s">
        <v>1525</v>
      </c>
      <c r="J68" s="1599"/>
      <c r="K68" s="1600">
        <f>ABS(((K64-J64)/J64)/((K67-J67)/J67))</f>
        <v>0.90000000000000024</v>
      </c>
      <c r="L68" s="1600">
        <f t="shared" ref="L68:N68" si="0">ABS(((L64-K64)/K64)/((L67-K67)/K67))</f>
        <v>0.90000000000000047</v>
      </c>
      <c r="M68" s="1600">
        <f t="shared" si="0"/>
        <v>0.9</v>
      </c>
      <c r="N68" s="1600">
        <f t="shared" si="0"/>
        <v>0.90000000000000013</v>
      </c>
      <c r="U68" s="551"/>
      <c r="V68" s="552"/>
      <c r="W68" s="552"/>
      <c r="X68" s="552"/>
      <c r="Y68" s="553"/>
    </row>
    <row r="69" spans="1:25" ht="15">
      <c r="I69" s="1778"/>
      <c r="U69" s="554"/>
      <c r="V69" s="555"/>
      <c r="W69" s="556"/>
      <c r="X69" s="555"/>
      <c r="Y69" s="557"/>
    </row>
    <row r="70" spans="1:25" ht="15">
      <c r="G70" s="697" t="s">
        <v>830</v>
      </c>
      <c r="H70" s="698">
        <f>M87*1.8</f>
        <v>8502.8571428571431</v>
      </c>
      <c r="I70" s="1778"/>
      <c r="J70" s="694"/>
      <c r="K70" s="695"/>
      <c r="M70" s="259" t="s">
        <v>0</v>
      </c>
      <c r="N70" s="260">
        <v>0.6</v>
      </c>
      <c r="O70" s="261" t="s">
        <v>3</v>
      </c>
      <c r="P70" s="261" t="s">
        <v>3</v>
      </c>
      <c r="U70" s="554"/>
      <c r="V70" s="558"/>
      <c r="W70" s="556"/>
      <c r="X70" s="555"/>
      <c r="Y70" s="557"/>
    </row>
    <row r="71" spans="1:25" ht="15">
      <c r="G71" s="548"/>
      <c r="H71" s="694"/>
      <c r="I71" s="1778"/>
      <c r="J71" s="694"/>
      <c r="K71" s="695"/>
      <c r="M71" s="21"/>
      <c r="N71" s="23" t="s">
        <v>3</v>
      </c>
      <c r="O71" s="261">
        <f>(1+N70/6)^6</f>
        <v>1.7715610000000008</v>
      </c>
      <c r="P71" s="266">
        <f>O71-1</f>
        <v>0.77156100000000083</v>
      </c>
      <c r="U71" s="559"/>
      <c r="V71" s="560"/>
      <c r="W71" s="556"/>
      <c r="X71" s="561"/>
      <c r="Y71" s="557"/>
    </row>
    <row r="72" spans="1:25" ht="14.25">
      <c r="A72" s="767" t="s">
        <v>865</v>
      </c>
      <c r="B72" s="767" t="s">
        <v>866</v>
      </c>
      <c r="C72" s="257"/>
      <c r="D72" s="257"/>
      <c r="G72" s="548"/>
      <c r="H72" s="694"/>
      <c r="I72" s="1778"/>
      <c r="J72" s="694"/>
      <c r="K72" s="695"/>
      <c r="M72" s="21"/>
      <c r="N72" s="23"/>
    </row>
    <row r="73" spans="1:25">
      <c r="A73" s="257"/>
      <c r="B73" s="767" t="s">
        <v>869</v>
      </c>
      <c r="C73" s="257"/>
      <c r="D73" s="257"/>
      <c r="M73" s="21"/>
      <c r="N73" s="39"/>
    </row>
    <row r="74" spans="1:25" ht="20.25">
      <c r="A74" s="257"/>
      <c r="B74" s="767" t="s">
        <v>877</v>
      </c>
      <c r="C74" s="257"/>
      <c r="D74" s="257"/>
      <c r="G74" s="856" t="s">
        <v>902</v>
      </c>
      <c r="H74" s="662"/>
      <c r="I74" s="662"/>
      <c r="J74" s="857"/>
      <c r="K74" s="857"/>
      <c r="M74" s="21"/>
      <c r="N74" s="23"/>
    </row>
    <row r="75" spans="1:25" ht="20.25">
      <c r="A75" s="257"/>
      <c r="B75" s="767" t="s">
        <v>882</v>
      </c>
      <c r="C75" s="257"/>
      <c r="D75" s="257"/>
      <c r="G75" s="662" t="s">
        <v>903</v>
      </c>
      <c r="H75" s="662"/>
      <c r="I75" s="662"/>
      <c r="J75" s="856"/>
      <c r="K75" s="662"/>
    </row>
    <row r="76" spans="1:25" ht="162">
      <c r="A76" s="257"/>
      <c r="B76" s="767" t="s">
        <v>892</v>
      </c>
      <c r="C76" s="257"/>
      <c r="D76" s="257"/>
      <c r="G76" s="858" t="s">
        <v>904</v>
      </c>
      <c r="H76" s="662"/>
      <c r="I76" s="662"/>
      <c r="J76" s="856"/>
      <c r="K76" s="662"/>
      <c r="M76" s="1615" t="s">
        <v>103</v>
      </c>
      <c r="N76" s="1613"/>
      <c r="O76" s="1613"/>
      <c r="P76" s="1613"/>
      <c r="Q76" s="1614"/>
      <c r="S76" s="769"/>
      <c r="T76" s="254"/>
      <c r="U76" s="254"/>
      <c r="V76" s="254"/>
      <c r="W76" s="254"/>
      <c r="X76" s="254"/>
    </row>
    <row r="77" spans="1:25" ht="20.25">
      <c r="G77" s="662" t="s">
        <v>905</v>
      </c>
      <c r="H77" s="859"/>
      <c r="I77" s="662"/>
      <c r="J77" s="856"/>
      <c r="K77" s="662"/>
      <c r="M77" s="24" t="s">
        <v>105</v>
      </c>
      <c r="N77" s="24" t="s">
        <v>106</v>
      </c>
      <c r="O77" s="24" t="s">
        <v>102</v>
      </c>
      <c r="P77" s="24" t="s">
        <v>134</v>
      </c>
      <c r="Q77" s="24" t="s">
        <v>107</v>
      </c>
      <c r="S77" s="254"/>
      <c r="T77" s="254"/>
      <c r="U77" s="254"/>
      <c r="V77" s="254"/>
      <c r="W77" s="254"/>
      <c r="X77" s="254"/>
    </row>
    <row r="78" spans="1:25" ht="20.25">
      <c r="G78" s="859" t="s">
        <v>909</v>
      </c>
      <c r="H78" s="859"/>
      <c r="I78" s="662"/>
      <c r="J78" s="662"/>
      <c r="K78" s="662"/>
      <c r="M78" s="25"/>
      <c r="N78" s="26"/>
      <c r="O78" s="26"/>
      <c r="P78" s="26"/>
      <c r="Q78" s="26">
        <f>(D143+D144+D145)*-0.75</f>
        <v>241500000</v>
      </c>
      <c r="S78" s="254"/>
      <c r="T78" s="254"/>
      <c r="U78" s="254"/>
      <c r="V78" s="254"/>
      <c r="W78" s="254"/>
      <c r="X78" s="254"/>
    </row>
    <row r="79" spans="1:25" ht="20.25">
      <c r="G79" s="859" t="s">
        <v>910</v>
      </c>
      <c r="H79" s="859"/>
      <c r="I79" s="662"/>
      <c r="J79" s="662"/>
      <c r="K79" s="662"/>
      <c r="M79" s="25">
        <v>1</v>
      </c>
      <c r="N79" s="26">
        <f>P71*Q78/(1-(1+P71)^-5)</f>
        <v>197659565.22943708</v>
      </c>
      <c r="O79" s="26">
        <f>Q78*$P$71</f>
        <v>186331981.50000021</v>
      </c>
      <c r="P79" s="26">
        <f>N79-O79</f>
        <v>11327583.729436874</v>
      </c>
      <c r="Q79" s="26">
        <f>Q78-P79</f>
        <v>230172416.27056313</v>
      </c>
      <c r="S79" s="254"/>
      <c r="T79" s="254"/>
      <c r="U79" s="254"/>
      <c r="V79" s="254"/>
      <c r="W79" s="254"/>
      <c r="X79" s="254"/>
    </row>
    <row r="80" spans="1:25" ht="20.25">
      <c r="G80" s="859" t="s">
        <v>911</v>
      </c>
      <c r="H80" s="662"/>
      <c r="I80" s="662"/>
      <c r="J80" s="662"/>
      <c r="K80" s="662"/>
      <c r="M80" s="25">
        <v>2</v>
      </c>
      <c r="N80" s="26">
        <f>P71*Q78/(1-(1+P71)^-5)</f>
        <v>197659565.22943708</v>
      </c>
      <c r="O80" s="26">
        <f>Q79*$P$71</f>
        <v>177592059.67013216</v>
      </c>
      <c r="P80" s="26">
        <f>N80-O80</f>
        <v>20067505.559304923</v>
      </c>
      <c r="Q80" s="26">
        <f>Q79-P80</f>
        <v>210104910.7112582</v>
      </c>
      <c r="S80" s="254"/>
      <c r="T80" s="254"/>
      <c r="U80" s="254"/>
      <c r="V80" s="254"/>
      <c r="W80" s="254"/>
      <c r="X80" s="254"/>
    </row>
    <row r="81" spans="2:17" ht="20.25">
      <c r="G81" s="862">
        <v>5</v>
      </c>
      <c r="H81" s="662"/>
      <c r="I81" s="662"/>
      <c r="J81" s="662"/>
      <c r="K81" s="662"/>
      <c r="M81" s="25">
        <v>3</v>
      </c>
      <c r="N81" s="26">
        <f>P71*Q78/(1-(1+P71)^-5)</f>
        <v>197659565.22943708</v>
      </c>
      <c r="O81" s="26">
        <f>Q80*$P$71</f>
        <v>162108755.01328927</v>
      </c>
      <c r="P81" s="26">
        <f>N81-O81</f>
        <v>35550810.21614781</v>
      </c>
      <c r="Q81" s="26">
        <f>Q80-P81</f>
        <v>174554100.49511039</v>
      </c>
    </row>
    <row r="82" spans="2:17" ht="20.25">
      <c r="G82" s="861">
        <f>G132+G108</f>
        <v>-10272000</v>
      </c>
      <c r="H82" s="662"/>
      <c r="I82" s="662"/>
      <c r="J82" s="662"/>
      <c r="K82" s="662"/>
      <c r="M82" s="25">
        <v>4</v>
      </c>
      <c r="N82" s="26">
        <f>P71*Q78/(1-(1+P71)^-5)</f>
        <v>197659565.22943708</v>
      </c>
      <c r="O82" s="26">
        <f>Q81*$P$71</f>
        <v>134679136.33210802</v>
      </c>
      <c r="P82" s="26">
        <f>N82-O82</f>
        <v>62980428.897329062</v>
      </c>
      <c r="Q82" s="26">
        <f>Q81-P82</f>
        <v>111573671.59778133</v>
      </c>
    </row>
    <row r="83" spans="2:17">
      <c r="M83" s="766">
        <v>5</v>
      </c>
      <c r="N83" s="26">
        <f>P71*Q78/(1-(1+P71)^-5)</f>
        <v>197659565.22943708</v>
      </c>
      <c r="O83" s="26">
        <f>Q82*$P$71</f>
        <v>86085893.631655857</v>
      </c>
      <c r="P83" s="26">
        <f>N83-O83</f>
        <v>111573671.59778123</v>
      </c>
      <c r="Q83" s="26">
        <f>Q82-P83</f>
        <v>0</v>
      </c>
    </row>
    <row r="84" spans="2:17" ht="13.5" thickBot="1">
      <c r="M84" s="1785"/>
      <c r="N84" s="1714"/>
      <c r="O84" s="1714"/>
      <c r="P84" s="1714"/>
      <c r="Q84" s="1714"/>
    </row>
    <row r="85" spans="2:17" ht="15" thickBot="1">
      <c r="B85" s="1703" t="s">
        <v>576</v>
      </c>
      <c r="C85" s="1704"/>
      <c r="D85" s="1704"/>
      <c r="E85" s="1704"/>
      <c r="F85" s="1704"/>
      <c r="G85" s="1704"/>
      <c r="H85" s="1704"/>
      <c r="I85" s="1704"/>
      <c r="J85" s="1704"/>
      <c r="K85" s="1705"/>
      <c r="L85" s="384"/>
      <c r="M85" s="384"/>
      <c r="N85" s="2"/>
      <c r="O85" s="2"/>
      <c r="P85" s="2"/>
      <c r="Q85" s="2"/>
    </row>
    <row r="86" spans="2:17" ht="30">
      <c r="B86" s="401" t="s">
        <v>577</v>
      </c>
      <c r="C86" s="402" t="s">
        <v>578</v>
      </c>
      <c r="D86" s="403" t="s">
        <v>579</v>
      </c>
      <c r="E86" s="403" t="s">
        <v>102</v>
      </c>
      <c r="F86" s="403" t="s">
        <v>580</v>
      </c>
      <c r="G86" s="403" t="s">
        <v>581</v>
      </c>
      <c r="H86" s="403" t="s">
        <v>582</v>
      </c>
      <c r="I86" s="404" t="s">
        <v>583</v>
      </c>
      <c r="J86" s="405" t="s">
        <v>584</v>
      </c>
      <c r="K86" s="401" t="s">
        <v>585</v>
      </c>
      <c r="L86" s="384"/>
      <c r="M86" s="401" t="s">
        <v>586</v>
      </c>
      <c r="N86" s="1759" t="s">
        <v>881</v>
      </c>
      <c r="O86" s="1759"/>
      <c r="P86" s="2"/>
      <c r="Q86" s="2"/>
    </row>
    <row r="87" spans="2:17" ht="14.25">
      <c r="B87" s="406" t="s">
        <v>878</v>
      </c>
      <c r="C87" s="524">
        <v>2500</v>
      </c>
      <c r="D87" s="408" t="s">
        <v>519</v>
      </c>
      <c r="E87" s="525"/>
      <c r="F87" s="525">
        <v>0.1</v>
      </c>
      <c r="G87" s="410">
        <f>1-F87</f>
        <v>0.9</v>
      </c>
      <c r="H87" s="411">
        <f>C87/G87</f>
        <v>2777.7777777777778</v>
      </c>
      <c r="I87" s="408">
        <v>1.5</v>
      </c>
      <c r="J87" s="412">
        <f>I87*H87*(1+E87)</f>
        <v>4166.666666666667</v>
      </c>
      <c r="K87" s="1735">
        <f>SUM(J87:J91)</f>
        <v>4723.8095238095239</v>
      </c>
      <c r="L87" s="1717" t="s">
        <v>588</v>
      </c>
      <c r="M87" s="1718">
        <f>SUM(K87,L91)</f>
        <v>4723.8095238095239</v>
      </c>
      <c r="N87" s="1759"/>
      <c r="O87" s="1759"/>
      <c r="P87" s="2"/>
      <c r="Q87" s="2"/>
    </row>
    <row r="88" spans="2:17" ht="14.25">
      <c r="B88" s="406" t="s">
        <v>879</v>
      </c>
      <c r="C88" s="524">
        <v>500</v>
      </c>
      <c r="D88" s="408" t="s">
        <v>519</v>
      </c>
      <c r="E88" s="525">
        <v>0</v>
      </c>
      <c r="F88" s="525">
        <v>0.3</v>
      </c>
      <c r="G88" s="410">
        <f>1-F88</f>
        <v>0.7</v>
      </c>
      <c r="H88" s="411">
        <f>C88/G88</f>
        <v>714.28571428571433</v>
      </c>
      <c r="I88" s="410">
        <v>0.5</v>
      </c>
      <c r="J88" s="412">
        <f>I88*H88*(1+E88)</f>
        <v>357.14285714285717</v>
      </c>
      <c r="K88" s="1736"/>
      <c r="L88" s="1717"/>
      <c r="M88" s="1718"/>
      <c r="N88" s="1759"/>
      <c r="O88" s="1759"/>
      <c r="P88" s="2"/>
      <c r="Q88" s="2"/>
    </row>
    <row r="89" spans="2:17" ht="14.25">
      <c r="B89" s="406" t="s">
        <v>880</v>
      </c>
      <c r="C89" s="524">
        <v>200</v>
      </c>
      <c r="D89" s="408" t="s">
        <v>591</v>
      </c>
      <c r="E89" s="525"/>
      <c r="F89" s="525"/>
      <c r="G89" s="410">
        <f>1-F89</f>
        <v>1</v>
      </c>
      <c r="H89" s="411">
        <f>C89/G89</f>
        <v>200</v>
      </c>
      <c r="I89" s="408">
        <v>1</v>
      </c>
      <c r="J89" s="412">
        <f>I89*H89*(1+E89)</f>
        <v>200</v>
      </c>
      <c r="K89" s="1736"/>
      <c r="L89" s="1717"/>
      <c r="M89" s="1718"/>
      <c r="N89" s="1759"/>
      <c r="O89" s="1759"/>
      <c r="P89" s="2"/>
      <c r="Q89" s="2"/>
    </row>
    <row r="90" spans="2:17" ht="14.25">
      <c r="B90" s="406"/>
      <c r="C90" s="524"/>
      <c r="D90" s="408"/>
      <c r="E90" s="525"/>
      <c r="F90" s="525"/>
      <c r="G90" s="410">
        <f>1-F90</f>
        <v>1</v>
      </c>
      <c r="H90" s="411">
        <f>C90/G90</f>
        <v>0</v>
      </c>
      <c r="I90" s="408">
        <v>1</v>
      </c>
      <c r="J90" s="412">
        <f>I90*H90*(1+E90)</f>
        <v>0</v>
      </c>
      <c r="K90" s="1736"/>
      <c r="L90" s="1717"/>
      <c r="M90" s="1718"/>
      <c r="N90" s="1759"/>
      <c r="O90" s="1759"/>
      <c r="P90" s="2"/>
      <c r="Q90" s="2"/>
    </row>
    <row r="91" spans="2:17" ht="15.75" thickBot="1">
      <c r="B91" s="414"/>
      <c r="C91" s="530"/>
      <c r="D91" s="416"/>
      <c r="E91" s="531"/>
      <c r="F91" s="531"/>
      <c r="G91" s="410">
        <f>1-F91</f>
        <v>1</v>
      </c>
      <c r="H91" s="411">
        <f>C91/G91</f>
        <v>0</v>
      </c>
      <c r="I91" s="416">
        <v>1</v>
      </c>
      <c r="J91" s="412">
        <f>I91*C91*(1+E91)</f>
        <v>0</v>
      </c>
      <c r="K91" s="1737"/>
      <c r="L91" s="532">
        <v>0</v>
      </c>
      <c r="M91" s="1718"/>
      <c r="N91" s="1759"/>
      <c r="O91" s="1759"/>
      <c r="P91" s="2"/>
      <c r="Q91" s="2"/>
    </row>
    <row r="92" spans="2:17" ht="14.25">
      <c r="B92" s="384"/>
      <c r="C92" s="419" t="s">
        <v>595</v>
      </c>
      <c r="D92" s="384"/>
      <c r="E92" s="1719" t="s">
        <v>596</v>
      </c>
      <c r="F92" s="1720"/>
      <c r="I92" s="419" t="s">
        <v>595</v>
      </c>
      <c r="J92" s="384"/>
      <c r="K92" s="384"/>
      <c r="L92" s="419" t="s">
        <v>597</v>
      </c>
      <c r="M92" s="384"/>
      <c r="N92" s="1759"/>
      <c r="O92" s="1759"/>
      <c r="P92" s="2"/>
      <c r="Q92" s="2"/>
    </row>
    <row r="93" spans="2:17">
      <c r="M93" s="2"/>
      <c r="N93" s="2"/>
      <c r="O93" s="2"/>
      <c r="P93" s="2"/>
      <c r="Q93" s="2"/>
    </row>
    <row r="94" spans="2:17" ht="9.75" customHeight="1">
      <c r="M94" s="2"/>
      <c r="N94" s="2"/>
      <c r="O94" s="2"/>
      <c r="P94" s="2"/>
      <c r="Q94" s="2"/>
    </row>
    <row r="95" spans="2:17" hidden="1">
      <c r="M95" s="2"/>
      <c r="N95" s="2"/>
      <c r="O95" s="2"/>
      <c r="P95" s="2"/>
      <c r="Q95" s="2"/>
    </row>
    <row r="96" spans="2:17" hidden="1">
      <c r="M96" s="2"/>
      <c r="N96" s="2"/>
      <c r="O96" s="2"/>
      <c r="P96" s="2"/>
      <c r="Q96" s="2"/>
    </row>
    <row r="97" spans="3:22" ht="27.75" customHeight="1">
      <c r="C97" s="1603" t="s">
        <v>1526</v>
      </c>
      <c r="D97" s="1602"/>
      <c r="E97" s="376"/>
      <c r="F97" s="376"/>
      <c r="G97" s="376"/>
      <c r="H97" s="376"/>
      <c r="I97" s="376"/>
      <c r="M97" s="4"/>
      <c r="N97" s="5"/>
      <c r="O97" s="5"/>
      <c r="P97" s="5"/>
      <c r="Q97" s="5"/>
    </row>
    <row r="98" spans="3:22">
      <c r="C98" s="1779" t="s">
        <v>1527</v>
      </c>
      <c r="D98" s="1780"/>
      <c r="E98" s="1780"/>
      <c r="F98" s="1780"/>
      <c r="G98" s="1780"/>
      <c r="H98" s="1780"/>
      <c r="I98" s="1780"/>
      <c r="M98" s="4"/>
      <c r="N98" s="5"/>
      <c r="O98" s="5"/>
      <c r="P98" s="5"/>
      <c r="Q98" s="5"/>
    </row>
    <row r="99" spans="3:22">
      <c r="C99" s="1780"/>
      <c r="D99" s="1780"/>
      <c r="E99" s="1780"/>
      <c r="F99" s="1780"/>
      <c r="G99" s="1780"/>
      <c r="H99" s="1780"/>
      <c r="I99" s="1780"/>
      <c r="M99" s="4"/>
      <c r="N99" s="5"/>
      <c r="O99" s="5"/>
      <c r="P99" s="5"/>
      <c r="Q99" s="5"/>
    </row>
    <row r="100" spans="3:22">
      <c r="C100" s="1780"/>
      <c r="D100" s="1780"/>
      <c r="E100" s="1780"/>
      <c r="F100" s="1780"/>
      <c r="G100" s="1780"/>
      <c r="H100" s="1780"/>
      <c r="I100" s="1780"/>
      <c r="M100" s="4"/>
      <c r="N100" s="5"/>
      <c r="O100" s="5"/>
      <c r="P100" s="5"/>
      <c r="Q100" s="5"/>
    </row>
    <row r="101" spans="3:22">
      <c r="C101" s="1781"/>
      <c r="D101" s="1781"/>
      <c r="E101" s="1781"/>
      <c r="F101" s="1781"/>
      <c r="G101" s="1781"/>
      <c r="H101" s="1781"/>
      <c r="I101" s="1781"/>
    </row>
    <row r="102" spans="3:22">
      <c r="C102" s="272" t="s">
        <v>365</v>
      </c>
      <c r="D102" s="25"/>
      <c r="E102" s="707">
        <f>G63</f>
        <v>140000</v>
      </c>
      <c r="F102" s="707">
        <f>G64</f>
        <v>168000</v>
      </c>
      <c r="G102" s="707">
        <f>G65</f>
        <v>117600</v>
      </c>
      <c r="H102" s="707">
        <f>G66</f>
        <v>82320</v>
      </c>
      <c r="I102" s="707">
        <f>G67</f>
        <v>57624</v>
      </c>
      <c r="P102" s="272"/>
      <c r="Q102" s="25"/>
      <c r="R102" s="25"/>
      <c r="S102" s="25"/>
      <c r="T102" s="25"/>
      <c r="U102" s="25"/>
      <c r="V102" s="25"/>
    </row>
    <row r="103" spans="3:22">
      <c r="C103" s="27" t="s">
        <v>361</v>
      </c>
      <c r="D103" s="27" t="s">
        <v>112</v>
      </c>
      <c r="E103" s="27" t="s">
        <v>113</v>
      </c>
      <c r="F103" s="27" t="s">
        <v>114</v>
      </c>
      <c r="G103" s="27" t="s">
        <v>115</v>
      </c>
      <c r="H103" s="27" t="s">
        <v>116</v>
      </c>
      <c r="I103" s="27" t="s">
        <v>117</v>
      </c>
      <c r="P103" s="27"/>
      <c r="Q103" s="27"/>
      <c r="R103" s="27"/>
      <c r="S103" s="27"/>
      <c r="T103" s="27"/>
      <c r="U103" s="27"/>
      <c r="V103" s="27"/>
    </row>
    <row r="104" spans="3:22">
      <c r="C104" s="269" t="s">
        <v>118</v>
      </c>
      <c r="D104" s="270"/>
      <c r="E104" s="270"/>
      <c r="F104" s="270"/>
      <c r="G104" s="270"/>
      <c r="H104" s="270"/>
      <c r="I104" s="270"/>
      <c r="P104" s="269"/>
      <c r="Q104" s="270"/>
      <c r="R104" s="270"/>
      <c r="S104" s="270"/>
      <c r="T104" s="270"/>
      <c r="U104" s="270"/>
      <c r="V104" s="270"/>
    </row>
    <row r="105" spans="3:22">
      <c r="C105" s="25" t="s">
        <v>356</v>
      </c>
      <c r="D105" s="752"/>
      <c r="E105" s="752">
        <f>E102*J67</f>
        <v>1190400000</v>
      </c>
      <c r="F105" s="752">
        <f>F102*K67</f>
        <v>1111040000</v>
      </c>
      <c r="G105" s="752">
        <f>G102*L67</f>
        <v>1036970666.6666666</v>
      </c>
      <c r="H105" s="752">
        <f>H102*M67</f>
        <v>967839288.88888884</v>
      </c>
      <c r="I105" s="752">
        <f>I102*N67</f>
        <v>903316669.62962961</v>
      </c>
      <c r="P105" s="25"/>
      <c r="Q105" s="26"/>
      <c r="R105" s="26"/>
      <c r="S105" s="26"/>
      <c r="T105" s="26"/>
      <c r="U105" s="26"/>
      <c r="V105" s="26"/>
    </row>
    <row r="106" spans="3:22">
      <c r="C106" s="25" t="s">
        <v>867</v>
      </c>
      <c r="D106" s="752"/>
      <c r="E106" s="752">
        <f>1000000*12</f>
        <v>12000000</v>
      </c>
      <c r="F106" s="752">
        <f>1000000*12</f>
        <v>12000000</v>
      </c>
      <c r="G106" s="752">
        <f>1000000*12</f>
        <v>12000000</v>
      </c>
      <c r="H106" s="752">
        <f>1000000*12</f>
        <v>12000000</v>
      </c>
      <c r="I106" s="752">
        <f>1000000*12</f>
        <v>12000000</v>
      </c>
      <c r="P106" s="25"/>
      <c r="Q106" s="26"/>
      <c r="R106" s="26"/>
      <c r="S106" s="26"/>
      <c r="T106" s="26"/>
      <c r="U106" s="26"/>
      <c r="V106" s="26"/>
    </row>
    <row r="107" spans="3:22">
      <c r="C107" s="25"/>
      <c r="D107" s="752"/>
      <c r="E107" s="752"/>
      <c r="F107" s="752"/>
      <c r="G107" s="752"/>
      <c r="H107" s="752"/>
      <c r="I107" s="752"/>
      <c r="P107" s="25"/>
      <c r="Q107" s="26"/>
      <c r="R107" s="26"/>
      <c r="S107" s="26"/>
      <c r="T107" s="26"/>
      <c r="U107" s="26"/>
      <c r="V107" s="26"/>
    </row>
    <row r="108" spans="3:22">
      <c r="C108" s="25" t="s">
        <v>874</v>
      </c>
      <c r="D108" s="752"/>
      <c r="E108" s="752"/>
      <c r="F108" s="752"/>
      <c r="G108" s="860">
        <f>G132*0.6*-1</f>
        <v>15408000</v>
      </c>
      <c r="H108" s="752"/>
      <c r="I108" s="753"/>
      <c r="P108" s="25"/>
      <c r="Q108" s="26"/>
      <c r="R108" s="26"/>
      <c r="S108" s="26"/>
      <c r="T108" s="26"/>
      <c r="U108" s="26"/>
      <c r="V108" s="280"/>
    </row>
    <row r="109" spans="3:22">
      <c r="C109" s="25"/>
      <c r="D109" s="752"/>
      <c r="E109" s="752"/>
      <c r="F109" s="752"/>
      <c r="G109" s="752"/>
      <c r="H109" s="752"/>
      <c r="I109" s="753"/>
      <c r="P109" s="25"/>
      <c r="Q109" s="26"/>
      <c r="R109" s="26"/>
      <c r="S109" s="26"/>
      <c r="T109" s="26"/>
      <c r="U109" s="26"/>
      <c r="V109" s="280"/>
    </row>
    <row r="110" spans="3:22">
      <c r="C110" s="25" t="s">
        <v>774</v>
      </c>
      <c r="D110" s="752"/>
      <c r="E110" s="752"/>
      <c r="F110" s="752"/>
      <c r="G110" s="752"/>
      <c r="H110" s="752"/>
      <c r="I110" s="753"/>
      <c r="J110" s="382"/>
      <c r="P110" s="25"/>
      <c r="Q110" s="26"/>
      <c r="R110" s="26"/>
      <c r="S110" s="26"/>
      <c r="T110" s="26"/>
      <c r="U110" s="26"/>
      <c r="V110" s="280"/>
    </row>
    <row r="111" spans="3:22">
      <c r="C111" s="269" t="s">
        <v>121</v>
      </c>
      <c r="D111" s="754"/>
      <c r="E111" s="754"/>
      <c r="F111" s="754"/>
      <c r="G111" s="754"/>
      <c r="H111" s="754"/>
      <c r="I111" s="754"/>
      <c r="P111" s="269"/>
      <c r="Q111" s="270"/>
      <c r="R111" s="270"/>
      <c r="S111" s="270"/>
      <c r="T111" s="270"/>
      <c r="U111" s="270"/>
      <c r="V111" s="270"/>
    </row>
    <row r="112" spans="3:22">
      <c r="C112" s="25" t="s">
        <v>122</v>
      </c>
      <c r="D112" s="752"/>
      <c r="E112" s="752">
        <f>O79*-1</f>
        <v>-186331981.50000021</v>
      </c>
      <c r="F112" s="752">
        <f>O80*-1</f>
        <v>-177592059.67013216</v>
      </c>
      <c r="G112" s="752">
        <f>O81*-1</f>
        <v>-162108755.01328927</v>
      </c>
      <c r="H112" s="752">
        <f>O82*-1</f>
        <v>-134679136.33210802</v>
      </c>
      <c r="I112" s="752">
        <f>O83*-1</f>
        <v>-86085893.631655857</v>
      </c>
      <c r="P112" s="25"/>
      <c r="Q112" s="26"/>
      <c r="R112" s="26"/>
      <c r="S112" s="26"/>
      <c r="T112" s="26"/>
      <c r="U112" s="26"/>
      <c r="V112" s="26"/>
    </row>
    <row r="113" spans="3:22">
      <c r="C113" s="47" t="s">
        <v>875</v>
      </c>
      <c r="D113" s="752"/>
      <c r="E113" s="752">
        <f>2500000*-1*12</f>
        <v>-30000000</v>
      </c>
      <c r="F113" s="752">
        <f>2500000*-1*12</f>
        <v>-30000000</v>
      </c>
      <c r="G113" s="752">
        <f>2500000*-1*12</f>
        <v>-30000000</v>
      </c>
      <c r="H113" s="752">
        <f>2500000*-1*12</f>
        <v>-30000000</v>
      </c>
      <c r="I113" s="752">
        <f>2500000*-1*12</f>
        <v>-30000000</v>
      </c>
      <c r="J113" s="351" t="s">
        <v>876</v>
      </c>
      <c r="P113" s="47"/>
      <c r="Q113" s="26"/>
      <c r="R113" s="26"/>
      <c r="S113" s="26"/>
      <c r="T113" s="26"/>
      <c r="U113" s="26"/>
      <c r="V113" s="26"/>
    </row>
    <row r="114" spans="3:22">
      <c r="C114" s="631" t="s">
        <v>899</v>
      </c>
      <c r="D114" s="752"/>
      <c r="E114" s="752">
        <f>E102*$K$87*-1</f>
        <v>-661333333.33333337</v>
      </c>
      <c r="F114" s="752">
        <f>F102*$K$87*-1</f>
        <v>-793600000</v>
      </c>
      <c r="G114" s="752">
        <f>G102*$K$87*-1</f>
        <v>-555520000</v>
      </c>
      <c r="H114" s="752">
        <f>H102*$K$87*-1</f>
        <v>-388864000</v>
      </c>
      <c r="I114" s="752">
        <f>I102*$K$87*-1</f>
        <v>-272204800</v>
      </c>
      <c r="P114" s="47"/>
      <c r="Q114" s="26"/>
      <c r="R114" s="26"/>
      <c r="S114" s="26"/>
      <c r="T114" s="26"/>
      <c r="U114" s="26"/>
      <c r="V114" s="26"/>
    </row>
    <row r="115" spans="3:22">
      <c r="C115" s="632"/>
      <c r="D115" s="752"/>
      <c r="E115" s="752"/>
      <c r="F115" s="752"/>
      <c r="G115" s="752"/>
      <c r="H115" s="752"/>
      <c r="I115" s="752"/>
      <c r="P115" s="47"/>
      <c r="Q115" s="26"/>
      <c r="R115" s="26"/>
      <c r="S115" s="26"/>
      <c r="T115" s="26"/>
      <c r="U115" s="26"/>
      <c r="V115" s="26"/>
    </row>
    <row r="116" spans="3:22">
      <c r="C116" s="47" t="s">
        <v>802</v>
      </c>
      <c r="D116" s="752"/>
      <c r="E116" s="752"/>
      <c r="F116" s="752"/>
      <c r="G116" s="752"/>
      <c r="H116" s="752"/>
      <c r="I116" s="752"/>
      <c r="P116" s="47"/>
      <c r="Q116" s="26"/>
      <c r="R116" s="26"/>
      <c r="S116" s="26"/>
      <c r="T116" s="26"/>
      <c r="U116" s="26"/>
      <c r="V116" s="26"/>
    </row>
    <row r="117" spans="3:22" ht="15.75" customHeight="1">
      <c r="C117" s="287" t="s">
        <v>803</v>
      </c>
      <c r="D117" s="752"/>
      <c r="E117" s="752"/>
      <c r="F117" s="752"/>
      <c r="G117" s="752"/>
      <c r="H117" s="752"/>
      <c r="I117" s="752"/>
      <c r="P117" s="287"/>
      <c r="Q117" s="26"/>
      <c r="R117" s="26"/>
      <c r="S117" s="26"/>
      <c r="T117" s="26"/>
      <c r="U117" s="26"/>
      <c r="V117" s="26"/>
    </row>
    <row r="118" spans="3:22" ht="15.75" customHeight="1">
      <c r="C118" s="199" t="s">
        <v>860</v>
      </c>
      <c r="D118" s="752"/>
      <c r="E118" s="752">
        <f>(300000-230000)*3*13*1.45*-1</f>
        <v>-3958500</v>
      </c>
      <c r="F118" s="752">
        <f>(300000-230000)*3*13*1.45*-1</f>
        <v>-3958500</v>
      </c>
      <c r="G118" s="752">
        <f>(300000-230000)*3*13*1.45*-1</f>
        <v>-3958500</v>
      </c>
      <c r="H118" s="752">
        <f>(300000-230000)*3*13*1.45*-1</f>
        <v>-3958500</v>
      </c>
      <c r="I118" s="752">
        <f>(300000-230000)*3*13*1.45*-1</f>
        <v>-3958500</v>
      </c>
      <c r="J118" s="351" t="s">
        <v>861</v>
      </c>
      <c r="P118" s="199"/>
      <c r="Q118" s="26"/>
      <c r="R118" s="26"/>
      <c r="S118" s="26"/>
      <c r="T118" s="26"/>
      <c r="U118" s="26"/>
      <c r="V118" s="26"/>
    </row>
    <row r="119" spans="3:22" ht="15.75" customHeight="1">
      <c r="C119" s="199" t="s">
        <v>862</v>
      </c>
      <c r="D119" s="752"/>
      <c r="E119" s="752">
        <f>230000*5*13*1.45*-1</f>
        <v>-21677500</v>
      </c>
      <c r="F119" s="752">
        <f>230000*5*13*1.45*-1</f>
        <v>-21677500</v>
      </c>
      <c r="G119" s="752">
        <f>230000*5*13*1.45*-1</f>
        <v>-21677500</v>
      </c>
      <c r="H119" s="752">
        <f>230000*5*13*1.45*-1</f>
        <v>-21677500</v>
      </c>
      <c r="I119" s="752">
        <f>230000*5*13*1.45*-1</f>
        <v>-21677500</v>
      </c>
      <c r="P119" s="199"/>
      <c r="Q119" s="26"/>
      <c r="R119" s="26"/>
      <c r="S119" s="26"/>
      <c r="T119" s="26"/>
      <c r="U119" s="26"/>
      <c r="V119" s="26"/>
    </row>
    <row r="120" spans="3:22" ht="15.75" customHeight="1">
      <c r="E120" s="752"/>
      <c r="F120" s="752"/>
      <c r="G120" s="752"/>
      <c r="H120" s="752"/>
      <c r="I120" s="752"/>
      <c r="P120" s="199"/>
      <c r="Q120" s="26"/>
      <c r="R120" s="26"/>
      <c r="S120" s="26"/>
      <c r="T120" s="26"/>
      <c r="U120" s="26"/>
      <c r="V120" s="26"/>
    </row>
    <row r="121" spans="3:22" ht="15.75" customHeight="1">
      <c r="E121" s="752"/>
      <c r="F121" s="752"/>
      <c r="G121" s="752"/>
      <c r="H121" s="752"/>
      <c r="I121" s="752"/>
      <c r="P121" s="199"/>
      <c r="Q121" s="26"/>
      <c r="R121" s="26"/>
      <c r="S121" s="26"/>
      <c r="T121" s="26"/>
      <c r="U121" s="26"/>
      <c r="V121" s="26"/>
    </row>
    <row r="122" spans="3:22" ht="15.75" customHeight="1">
      <c r="C122" s="199" t="s">
        <v>478</v>
      </c>
      <c r="D122" s="752"/>
      <c r="E122" s="752"/>
      <c r="F122" s="752"/>
      <c r="G122" s="752"/>
      <c r="H122" s="752"/>
      <c r="I122" s="752"/>
      <c r="P122" s="199"/>
      <c r="Q122" s="26"/>
      <c r="R122" s="26"/>
      <c r="S122" s="26"/>
      <c r="T122" s="26"/>
      <c r="U122" s="26"/>
      <c r="V122" s="26"/>
    </row>
    <row r="123" spans="3:22" ht="15.75" customHeight="1">
      <c r="C123" s="199" t="s">
        <v>543</v>
      </c>
      <c r="D123" s="752"/>
      <c r="E123" s="752"/>
      <c r="F123" s="752"/>
      <c r="G123" s="752"/>
      <c r="H123" s="752"/>
      <c r="I123" s="752"/>
      <c r="P123" s="199"/>
      <c r="Q123" s="26"/>
      <c r="R123" s="26"/>
      <c r="S123" s="26"/>
      <c r="T123" s="26"/>
      <c r="U123" s="26"/>
      <c r="V123" s="26"/>
    </row>
    <row r="124" spans="3:22" ht="15.75" customHeight="1">
      <c r="C124" s="199" t="s">
        <v>766</v>
      </c>
      <c r="D124" s="752"/>
      <c r="E124" s="752"/>
      <c r="F124" s="752"/>
      <c r="G124" s="752"/>
      <c r="H124" s="752"/>
      <c r="I124" s="752">
        <f>M16</f>
        <v>0</v>
      </c>
      <c r="P124" s="199"/>
      <c r="Q124" s="26"/>
      <c r="R124" s="26"/>
      <c r="S124" s="26"/>
      <c r="T124" s="26"/>
      <c r="U124" s="26"/>
      <c r="V124" s="26"/>
    </row>
    <row r="125" spans="3:22">
      <c r="C125" s="267" t="s">
        <v>125</v>
      </c>
      <c r="D125" s="755"/>
      <c r="E125" s="755"/>
      <c r="F125" s="755"/>
      <c r="G125" s="755"/>
      <c r="H125" s="755"/>
      <c r="I125" s="755"/>
      <c r="P125" s="267"/>
      <c r="Q125" s="268"/>
      <c r="R125" s="268"/>
      <c r="S125" s="268"/>
      <c r="T125" s="268"/>
      <c r="U125" s="268"/>
      <c r="V125" s="268"/>
    </row>
    <row r="126" spans="3:22">
      <c r="C126" s="25" t="s">
        <v>761</v>
      </c>
      <c r="D126" s="752"/>
      <c r="E126" s="752"/>
      <c r="F126" s="752"/>
      <c r="G126" s="752"/>
      <c r="H126" s="752"/>
      <c r="I126" s="752"/>
      <c r="J126" s="1746"/>
      <c r="K126" s="1747"/>
      <c r="L126" s="1747"/>
      <c r="M126" s="1747"/>
      <c r="P126" s="25"/>
      <c r="Q126" s="26"/>
      <c r="R126" s="26"/>
      <c r="S126" s="26"/>
      <c r="T126" s="26"/>
      <c r="U126" s="26"/>
      <c r="V126" s="26"/>
    </row>
    <row r="127" spans="3:22">
      <c r="C127" s="25" t="s">
        <v>870</v>
      </c>
      <c r="D127" s="752"/>
      <c r="E127" s="752">
        <f>(($D$143+$D$144)*0.8)/5</f>
        <v>-51360000</v>
      </c>
      <c r="F127" s="752">
        <f>(($D$143+$D$144)*0.8)/5</f>
        <v>-51360000</v>
      </c>
      <c r="G127" s="752">
        <f>(($D$143+$D$144)*0.8)/5</f>
        <v>-51360000</v>
      </c>
      <c r="H127" s="752">
        <f>(($D$143+$D$144)*0.8)/5</f>
        <v>-51360000</v>
      </c>
      <c r="I127" s="752">
        <f>(($D$143+$D$144)*0.8)/5</f>
        <v>-51360000</v>
      </c>
      <c r="P127" s="25"/>
      <c r="Q127" s="26"/>
      <c r="R127" s="26"/>
      <c r="S127" s="26"/>
      <c r="T127" s="26"/>
      <c r="U127" s="26"/>
      <c r="V127" s="26"/>
    </row>
    <row r="128" spans="3:22">
      <c r="C128" s="25" t="s">
        <v>871</v>
      </c>
      <c r="D128" s="752"/>
      <c r="E128" s="752">
        <f>(($D$143+$D$144)*0.2)/5</f>
        <v>-12840000</v>
      </c>
      <c r="F128" s="752">
        <f>(($D$143+$D$144)*0.2)/5</f>
        <v>-12840000</v>
      </c>
      <c r="G128" s="752">
        <f>(($D$143+$D$144)*0.2)/5</f>
        <v>-12840000</v>
      </c>
      <c r="H128" s="752"/>
      <c r="I128" s="752"/>
      <c r="P128" s="25"/>
      <c r="Q128" s="26"/>
      <c r="R128" s="26"/>
      <c r="S128" s="26"/>
      <c r="T128" s="26"/>
      <c r="U128" s="26"/>
      <c r="V128" s="26"/>
    </row>
    <row r="129" spans="3:22">
      <c r="C129" s="25" t="s">
        <v>773</v>
      </c>
      <c r="D129" s="752"/>
      <c r="E129" s="752"/>
      <c r="F129" s="752"/>
      <c r="G129" s="752"/>
      <c r="H129" s="752"/>
      <c r="I129" s="752"/>
      <c r="P129" s="25"/>
      <c r="Q129" s="26"/>
      <c r="R129" s="26"/>
      <c r="S129" s="26"/>
      <c r="T129" s="26"/>
      <c r="U129" s="26"/>
      <c r="V129" s="26"/>
    </row>
    <row r="130" spans="3:22">
      <c r="C130" s="25" t="s">
        <v>787</v>
      </c>
      <c r="D130" s="752"/>
      <c r="E130" s="752"/>
      <c r="F130" s="752"/>
      <c r="G130" s="752"/>
      <c r="H130" s="752"/>
      <c r="I130" s="756"/>
      <c r="P130" s="25"/>
      <c r="Q130" s="26"/>
      <c r="R130" s="26"/>
      <c r="S130" s="26"/>
      <c r="T130" s="26"/>
      <c r="U130" s="26"/>
      <c r="V130" s="26"/>
    </row>
    <row r="131" spans="3:22">
      <c r="C131" s="25" t="s">
        <v>768</v>
      </c>
      <c r="D131" s="752"/>
      <c r="E131" s="752"/>
      <c r="F131" s="752"/>
      <c r="G131" s="752"/>
      <c r="H131" s="752"/>
      <c r="I131" s="756"/>
      <c r="P131" s="25"/>
      <c r="Q131" s="26"/>
      <c r="R131" s="26"/>
      <c r="S131" s="26"/>
      <c r="T131" s="26"/>
      <c r="U131" s="26"/>
      <c r="V131" s="26"/>
    </row>
    <row r="132" spans="3:22">
      <c r="C132" s="25" t="s">
        <v>872</v>
      </c>
      <c r="D132" s="752"/>
      <c r="E132" s="752"/>
      <c r="F132" s="752"/>
      <c r="G132" s="860">
        <f>G128*2</f>
        <v>-25680000</v>
      </c>
      <c r="H132" s="757"/>
      <c r="I132" s="758"/>
      <c r="P132" s="25"/>
      <c r="Q132" s="26"/>
      <c r="R132" s="26"/>
      <c r="S132" s="26"/>
      <c r="T132" s="26"/>
      <c r="U132" s="26"/>
      <c r="V132" s="26"/>
    </row>
    <row r="133" spans="3:22">
      <c r="C133" s="25" t="s">
        <v>873</v>
      </c>
      <c r="D133" s="752"/>
      <c r="E133" s="752"/>
      <c r="F133" s="752"/>
      <c r="G133" s="752"/>
      <c r="H133" s="752"/>
      <c r="I133" s="759">
        <v>0</v>
      </c>
      <c r="P133" s="25"/>
      <c r="Q133" s="26"/>
      <c r="R133" s="26"/>
      <c r="S133" s="26"/>
      <c r="T133" s="26"/>
      <c r="U133" s="26"/>
      <c r="V133" s="26"/>
    </row>
    <row r="134" spans="3:22">
      <c r="C134" s="25" t="s">
        <v>781</v>
      </c>
      <c r="D134" s="752"/>
      <c r="E134" s="752"/>
      <c r="F134" s="752"/>
      <c r="G134" s="752"/>
      <c r="H134" s="752"/>
      <c r="I134" s="759"/>
      <c r="P134" s="25"/>
      <c r="Q134" s="26"/>
      <c r="R134" s="26"/>
      <c r="S134" s="26"/>
      <c r="T134" s="26"/>
      <c r="U134" s="26"/>
      <c r="V134" s="26"/>
    </row>
    <row r="135" spans="3:22">
      <c r="C135" s="25" t="s">
        <v>786</v>
      </c>
      <c r="D135" s="752"/>
      <c r="E135" s="752"/>
      <c r="F135" s="752"/>
      <c r="G135" s="752"/>
      <c r="H135" s="752"/>
      <c r="I135" s="759"/>
      <c r="P135" s="25"/>
      <c r="Q135" s="26"/>
      <c r="R135" s="26"/>
      <c r="S135" s="26"/>
      <c r="T135" s="26"/>
      <c r="U135" s="26"/>
      <c r="V135" s="26"/>
    </row>
    <row r="136" spans="3:22" ht="14.25">
      <c r="C136" s="31" t="s">
        <v>130</v>
      </c>
      <c r="D136" s="760"/>
      <c r="E136" s="760">
        <f>SUM(E104:E132)</f>
        <v>234898685.16666639</v>
      </c>
      <c r="F136" s="760">
        <f>SUM(F104:F132)</f>
        <v>32011940.32986784</v>
      </c>
      <c r="G136" s="760">
        <f>SUM(G104:G132)</f>
        <v>201233911.65337729</v>
      </c>
      <c r="H136" s="760">
        <f>SUM(H104:H132)</f>
        <v>349300152.55678082</v>
      </c>
      <c r="I136" s="760">
        <f>SUM(I104:I133)</f>
        <v>450029975.9979738</v>
      </c>
      <c r="K136" s="259"/>
      <c r="L136" s="259"/>
      <c r="M136" s="259"/>
      <c r="P136" s="31"/>
      <c r="Q136" s="32"/>
      <c r="R136" s="32"/>
      <c r="S136" s="32"/>
      <c r="T136" s="32"/>
      <c r="U136" s="32"/>
      <c r="V136" s="32"/>
    </row>
    <row r="137" spans="3:22">
      <c r="C137" s="33" t="s">
        <v>353</v>
      </c>
      <c r="D137" s="752"/>
      <c r="E137" s="752">
        <f>E136*0.1</f>
        <v>23489868.51666664</v>
      </c>
      <c r="F137" s="752">
        <f>F136*0.1</f>
        <v>3201194.0329867844</v>
      </c>
      <c r="G137" s="752">
        <f>G136*0.1</f>
        <v>20123391.16533773</v>
      </c>
      <c r="H137" s="752">
        <f>H136*0.1</f>
        <v>34930015.25567808</v>
      </c>
      <c r="I137" s="752">
        <f>I136*0.1</f>
        <v>45002997.599797383</v>
      </c>
      <c r="K137" s="276"/>
      <c r="L137" s="259"/>
      <c r="M137" s="259"/>
      <c r="P137" s="33"/>
      <c r="Q137" s="26"/>
      <c r="R137" s="26"/>
      <c r="S137" s="26"/>
      <c r="T137" s="26"/>
      <c r="U137" s="26"/>
      <c r="V137" s="26"/>
    </row>
    <row r="138" spans="3:22" ht="28.5">
      <c r="C138" s="34" t="s">
        <v>132</v>
      </c>
      <c r="D138" s="761"/>
      <c r="E138" s="761">
        <f>E136-E137</f>
        <v>211408816.64999974</v>
      </c>
      <c r="F138" s="761">
        <f>F136-F137</f>
        <v>28810746.296881057</v>
      </c>
      <c r="G138" s="761">
        <f>G136-G137</f>
        <v>181110520.48803955</v>
      </c>
      <c r="H138" s="761">
        <f>H136-H137</f>
        <v>314370137.30110276</v>
      </c>
      <c r="I138" s="761">
        <f>I136-I137</f>
        <v>405026978.39817643</v>
      </c>
      <c r="P138" s="34"/>
      <c r="Q138" s="35"/>
      <c r="R138" s="35"/>
      <c r="S138" s="35"/>
      <c r="T138" s="35"/>
      <c r="U138" s="35"/>
      <c r="V138" s="35"/>
    </row>
    <row r="139" spans="3:22">
      <c r="C139" s="33" t="s">
        <v>133</v>
      </c>
      <c r="D139" s="756"/>
      <c r="E139" s="756">
        <f>SUM(E126:E133)*-1</f>
        <v>64200000</v>
      </c>
      <c r="F139" s="756">
        <f>SUM(F126:F133)*-1</f>
        <v>64200000</v>
      </c>
      <c r="G139" s="756">
        <f>SUM(G126:G133)*-1</f>
        <v>89880000</v>
      </c>
      <c r="H139" s="756">
        <f>SUM(H126:H133)*-1</f>
        <v>51360000</v>
      </c>
      <c r="I139" s="756">
        <f>SUM(I126:I133)*-1</f>
        <v>51360000</v>
      </c>
      <c r="P139" s="33"/>
      <c r="Q139" s="26"/>
      <c r="R139" s="26"/>
      <c r="S139" s="26"/>
      <c r="T139" s="26"/>
      <c r="U139" s="26"/>
      <c r="V139" s="26"/>
    </row>
    <row r="140" spans="3:22" ht="26.25">
      <c r="C140" s="751" t="s">
        <v>712</v>
      </c>
      <c r="D140" s="762">
        <v>-19051601.111111112</v>
      </c>
      <c r="E140" s="763">
        <v>-3810320.2222222215</v>
      </c>
      <c r="F140" s="763"/>
      <c r="G140" s="763"/>
      <c r="H140" s="763"/>
      <c r="I140" s="764"/>
      <c r="P140" s="284"/>
      <c r="Q140" s="26"/>
      <c r="R140" s="26"/>
      <c r="S140" s="26"/>
      <c r="T140" s="26"/>
      <c r="U140" s="26"/>
    </row>
    <row r="141" spans="3:22">
      <c r="C141" s="25" t="s">
        <v>134</v>
      </c>
      <c r="D141" s="759"/>
      <c r="E141" s="759">
        <f>P79*-1</f>
        <v>-11327583.729436874</v>
      </c>
      <c r="F141" s="759">
        <f>P80*-1</f>
        <v>-20067505.559304923</v>
      </c>
      <c r="G141" s="759">
        <f>P81*-1</f>
        <v>-35550810.21614781</v>
      </c>
      <c r="H141" s="759">
        <f>P82*-1</f>
        <v>-62980428.897329062</v>
      </c>
      <c r="I141" s="759">
        <f>P83*-1</f>
        <v>-111573671.59778123</v>
      </c>
      <c r="L141">
        <v>-5635.4159226190286</v>
      </c>
      <c r="P141" s="25"/>
      <c r="R141" s="26"/>
      <c r="S141" s="26"/>
      <c r="T141" s="26"/>
      <c r="U141" s="26"/>
      <c r="V141" s="26"/>
    </row>
    <row r="142" spans="3:22">
      <c r="C142" s="25" t="s">
        <v>135</v>
      </c>
      <c r="D142" s="752">
        <f>(D143+D144+D145)*0.75*-1</f>
        <v>241500000</v>
      </c>
      <c r="E142" s="752"/>
      <c r="F142" s="752"/>
      <c r="G142" s="752"/>
      <c r="H142" s="752"/>
      <c r="I142" s="752"/>
      <c r="L142">
        <v>12397.915029761889</v>
      </c>
      <c r="P142" s="286"/>
      <c r="R142" s="26"/>
      <c r="S142" s="26"/>
      <c r="T142" s="26"/>
      <c r="U142" s="26"/>
      <c r="V142" s="26"/>
    </row>
    <row r="143" spans="3:22">
      <c r="C143" s="25" t="s">
        <v>858</v>
      </c>
      <c r="D143" s="752">
        <f>2000000*160*-1</f>
        <v>-320000000</v>
      </c>
      <c r="E143" s="752"/>
      <c r="F143" s="752"/>
      <c r="G143" s="752"/>
      <c r="H143" s="756"/>
      <c r="I143" s="752"/>
      <c r="L143">
        <v>-1127.0831845238117</v>
      </c>
      <c r="P143" s="286"/>
      <c r="Q143" s="26"/>
      <c r="V143" s="26"/>
    </row>
    <row r="144" spans="3:22">
      <c r="C144" s="25" t="s">
        <v>859</v>
      </c>
      <c r="D144" s="752">
        <f>1000000*-1</f>
        <v>-1000000</v>
      </c>
      <c r="E144" s="752"/>
      <c r="F144" s="752"/>
      <c r="G144" s="757"/>
      <c r="H144" s="758"/>
      <c r="I144" s="765"/>
      <c r="L144">
        <v>3381.2495535714093</v>
      </c>
      <c r="P144" s="286"/>
      <c r="Q144" s="26"/>
      <c r="R144" s="26"/>
      <c r="S144" s="26"/>
      <c r="T144" s="26"/>
      <c r="U144" s="26"/>
      <c r="V144" s="26"/>
    </row>
    <row r="145" spans="3:23">
      <c r="C145" s="25" t="s">
        <v>863</v>
      </c>
      <c r="D145" s="752">
        <f>1000000*-1</f>
        <v>-1000000</v>
      </c>
      <c r="E145" s="752"/>
      <c r="F145" s="752"/>
      <c r="G145" s="757">
        <v>-250000</v>
      </c>
      <c r="H145" s="758"/>
      <c r="I145" s="765"/>
      <c r="P145" s="286"/>
      <c r="Q145" s="26"/>
      <c r="R145" s="26"/>
      <c r="S145" s="26"/>
      <c r="T145" s="26"/>
      <c r="U145" s="26"/>
      <c r="V145" s="26"/>
    </row>
    <row r="146" spans="3:23">
      <c r="C146" s="199" t="s">
        <v>864</v>
      </c>
      <c r="D146" s="752">
        <f>4*1000000*-1</f>
        <v>-4000000</v>
      </c>
      <c r="E146" s="752"/>
      <c r="F146" s="752"/>
      <c r="G146" s="757"/>
      <c r="H146" s="758"/>
      <c r="I146" s="765"/>
      <c r="P146" s="286"/>
      <c r="Q146" s="26"/>
      <c r="R146" s="26"/>
      <c r="S146" s="26"/>
      <c r="T146" s="26"/>
      <c r="U146" s="26"/>
      <c r="V146" s="26"/>
    </row>
    <row r="147" spans="3:23">
      <c r="C147" s="199" t="s">
        <v>868</v>
      </c>
      <c r="D147" s="752">
        <f>D146*0.2</f>
        <v>-800000</v>
      </c>
      <c r="E147" s="752"/>
      <c r="F147" s="752"/>
      <c r="G147" s="757"/>
      <c r="H147" s="1051"/>
      <c r="I147" s="765"/>
      <c r="P147" s="286"/>
      <c r="Q147" s="26"/>
      <c r="R147" s="26"/>
      <c r="S147" s="26"/>
      <c r="T147" s="26"/>
      <c r="U147" s="26"/>
      <c r="V147" s="26"/>
    </row>
    <row r="148" spans="3:23">
      <c r="C148" s="286" t="s">
        <v>412</v>
      </c>
      <c r="D148" s="752"/>
      <c r="E148" s="752"/>
      <c r="F148" s="752"/>
      <c r="G148" s="752"/>
      <c r="H148" s="759"/>
      <c r="I148" s="752">
        <f>(D140+E140+G140)*-1</f>
        <v>22861921.333333332</v>
      </c>
      <c r="J148" s="298" t="s">
        <v>29</v>
      </c>
      <c r="P148" s="286"/>
      <c r="Q148" s="26"/>
      <c r="R148" s="26"/>
      <c r="S148" s="26"/>
      <c r="T148" s="26"/>
      <c r="U148" s="26"/>
      <c r="V148" s="26"/>
    </row>
    <row r="149" spans="3:23" ht="14.25">
      <c r="C149" s="37" t="s">
        <v>139</v>
      </c>
      <c r="D149" s="761">
        <f t="shared" ref="D149:I149" si="1">SUM(D138:D148)</f>
        <v>-104351601.1111111</v>
      </c>
      <c r="E149" s="761">
        <f t="shared" si="1"/>
        <v>260470912.69834065</v>
      </c>
      <c r="F149" s="761">
        <f t="shared" si="1"/>
        <v>72943240.737576127</v>
      </c>
      <c r="G149" s="761">
        <f t="shared" si="1"/>
        <v>235189710.27189174</v>
      </c>
      <c r="H149" s="761">
        <f t="shared" si="1"/>
        <v>302749708.40377367</v>
      </c>
      <c r="I149" s="761">
        <f t="shared" si="1"/>
        <v>367675228.1337285</v>
      </c>
      <c r="J149" s="790">
        <f>NPV(C171,E149:I149)+D149</f>
        <v>573986281.28887844</v>
      </c>
      <c r="P149" s="37"/>
      <c r="Q149" s="35"/>
      <c r="R149" s="35"/>
      <c r="S149" s="35"/>
      <c r="T149" s="35"/>
      <c r="U149" s="35"/>
      <c r="V149" s="35"/>
      <c r="W149" s="297"/>
    </row>
    <row r="150" spans="3:23">
      <c r="C150" s="3"/>
      <c r="E150" s="5"/>
      <c r="F150" s="5"/>
      <c r="G150" s="5"/>
      <c r="H150" s="5"/>
      <c r="I150" s="5"/>
    </row>
    <row r="152" spans="3:23">
      <c r="E152" s="297"/>
      <c r="K152" s="274"/>
    </row>
    <row r="153" spans="3:23">
      <c r="C153" s="593"/>
      <c r="D153" s="380"/>
      <c r="E153" s="380"/>
      <c r="F153" s="380"/>
      <c r="G153" s="380"/>
      <c r="H153" s="380"/>
      <c r="I153" s="380"/>
    </row>
    <row r="154" spans="3:23" ht="12.75" customHeight="1">
      <c r="N154" s="299"/>
      <c r="O154" s="299"/>
      <c r="P154" s="299"/>
      <c r="Q154" s="299"/>
    </row>
    <row r="155" spans="3:23">
      <c r="N155" s="299"/>
      <c r="O155" s="299"/>
      <c r="P155" s="299"/>
      <c r="Q155" s="299"/>
    </row>
    <row r="156" spans="3:23">
      <c r="N156" s="299"/>
      <c r="O156" s="299"/>
      <c r="P156" s="299"/>
      <c r="Q156" s="299"/>
    </row>
    <row r="157" spans="3:23">
      <c r="N157" s="299"/>
      <c r="O157" s="299"/>
      <c r="P157" s="299"/>
      <c r="Q157" s="299"/>
    </row>
    <row r="158" spans="3:23">
      <c r="K158" s="299"/>
      <c r="L158" s="299"/>
      <c r="M158" s="299"/>
      <c r="N158" s="299"/>
    </row>
    <row r="159" spans="3:23">
      <c r="K159" s="299"/>
      <c r="L159" s="299"/>
      <c r="M159" s="299"/>
      <c r="N159" s="299"/>
    </row>
    <row r="160" spans="3:23">
      <c r="K160" s="299"/>
      <c r="L160" s="299"/>
      <c r="M160" s="299"/>
      <c r="N160" s="299"/>
    </row>
    <row r="161" spans="2:17">
      <c r="G161" s="25"/>
      <c r="H161" s="25" t="s">
        <v>483</v>
      </c>
      <c r="I161" s="25" t="s">
        <v>484</v>
      </c>
      <c r="K161" s="299"/>
      <c r="L161" s="299"/>
      <c r="M161" s="299"/>
      <c r="N161" s="299"/>
    </row>
    <row r="162" spans="2:17">
      <c r="G162" s="25" t="s">
        <v>485</v>
      </c>
      <c r="H162" s="343"/>
      <c r="I162" s="134"/>
      <c r="K162" s="299"/>
      <c r="L162" s="299"/>
      <c r="M162" s="299"/>
      <c r="N162" s="299"/>
    </row>
    <row r="163" spans="2:17">
      <c r="G163" s="25" t="s">
        <v>486</v>
      </c>
      <c r="H163" s="343"/>
      <c r="I163" s="134"/>
      <c r="N163" s="299"/>
      <c r="O163" s="299"/>
      <c r="P163" s="299"/>
      <c r="Q163" s="299"/>
    </row>
    <row r="164" spans="2:17">
      <c r="G164" s="25" t="s">
        <v>487</v>
      </c>
      <c r="H164" s="343"/>
      <c r="I164" s="134"/>
      <c r="N164" s="299"/>
      <c r="O164" s="299"/>
      <c r="P164" s="299"/>
      <c r="Q164" s="299"/>
    </row>
    <row r="165" spans="2:17">
      <c r="G165" s="271" t="s">
        <v>150</v>
      </c>
      <c r="H165" s="344"/>
      <c r="I165" s="25"/>
      <c r="J165" t="e">
        <f>H162*I162/(H162+H163)</f>
        <v>#DIV/0!</v>
      </c>
      <c r="N165" s="299"/>
      <c r="O165" s="299"/>
      <c r="P165" s="299"/>
      <c r="Q165" s="299"/>
    </row>
    <row r="166" spans="2:17">
      <c r="N166" s="299"/>
      <c r="O166" s="299"/>
      <c r="P166" s="299"/>
      <c r="Q166" s="299"/>
    </row>
    <row r="167" spans="2:17" ht="15">
      <c r="G167" s="345" t="s">
        <v>488</v>
      </c>
      <c r="H167" s="346"/>
      <c r="I167" t="s">
        <v>498</v>
      </c>
      <c r="N167" s="299"/>
      <c r="O167" s="299"/>
      <c r="P167" s="299"/>
      <c r="Q167" s="299"/>
    </row>
    <row r="168" spans="2:17" ht="15">
      <c r="G168" s="345" t="s">
        <v>489</v>
      </c>
      <c r="H168" s="346">
        <v>0.75</v>
      </c>
      <c r="I168" s="347" t="s">
        <v>490</v>
      </c>
    </row>
    <row r="169" spans="2:17" ht="15">
      <c r="G169" s="345" t="s">
        <v>491</v>
      </c>
      <c r="H169" s="346">
        <v>0.25</v>
      </c>
      <c r="I169" s="347" t="s">
        <v>492</v>
      </c>
    </row>
    <row r="170" spans="2:17" ht="15.75" thickBot="1">
      <c r="G170" s="345" t="s">
        <v>493</v>
      </c>
      <c r="H170" s="346"/>
      <c r="I170" t="s">
        <v>494</v>
      </c>
      <c r="M170" t="s">
        <v>448</v>
      </c>
      <c r="N170" s="304">
        <v>150000</v>
      </c>
      <c r="O170" s="352"/>
    </row>
    <row r="171" spans="2:17" ht="15">
      <c r="B171" s="40" t="s">
        <v>140</v>
      </c>
      <c r="C171" s="285">
        <f>C179*C173+C180*(1-C177)*C178</f>
        <v>0.21152499999999996</v>
      </c>
      <c r="G171" s="345" t="s">
        <v>495</v>
      </c>
      <c r="H171" s="346"/>
      <c r="I171" t="s">
        <v>496</v>
      </c>
      <c r="M171" t="s">
        <v>448</v>
      </c>
      <c r="N171" s="305">
        <v>160000</v>
      </c>
      <c r="O171" s="353"/>
    </row>
    <row r="172" spans="2:17" ht="15.75" thickBot="1">
      <c r="B172" s="42" t="s">
        <v>141</v>
      </c>
      <c r="C172" s="43" t="s">
        <v>142</v>
      </c>
      <c r="M172" t="s">
        <v>449</v>
      </c>
    </row>
    <row r="173" spans="2:17" ht="15.75" thickBot="1">
      <c r="B173" s="44" t="s">
        <v>143</v>
      </c>
      <c r="C173" s="573">
        <f>C174+C175*(C176-C174)</f>
        <v>0.15</v>
      </c>
      <c r="G173" s="348" t="s">
        <v>497</v>
      </c>
      <c r="H173" s="349">
        <f>H167*H168+H170*H169*(1-H171)</f>
        <v>0</v>
      </c>
    </row>
    <row r="174" spans="2:17" ht="15">
      <c r="B174" s="44" t="s">
        <v>144</v>
      </c>
      <c r="C174" s="783">
        <v>0.05</v>
      </c>
      <c r="D174" s="785" t="s">
        <v>889</v>
      </c>
    </row>
    <row r="175" spans="2:17" ht="18.75" thickBot="1">
      <c r="B175" s="47" t="s">
        <v>7</v>
      </c>
      <c r="C175" s="784">
        <v>1.3</v>
      </c>
      <c r="D175" s="786" t="s">
        <v>886</v>
      </c>
      <c r="I175" s="350" t="s">
        <v>502</v>
      </c>
    </row>
    <row r="176" spans="2:17" ht="18">
      <c r="B176" s="47" t="s">
        <v>146</v>
      </c>
      <c r="C176" s="49">
        <f>(0.1/1.3)+C174</f>
        <v>0.12692307692307692</v>
      </c>
      <c r="D176" s="4" t="s">
        <v>890</v>
      </c>
      <c r="I176" s="350" t="s">
        <v>883</v>
      </c>
    </row>
    <row r="177" spans="2:15" ht="18">
      <c r="B177" s="47" t="s">
        <v>148</v>
      </c>
      <c r="C177" s="49">
        <v>0.15</v>
      </c>
      <c r="D177" s="4" t="s">
        <v>891</v>
      </c>
      <c r="I177" s="350" t="s">
        <v>884</v>
      </c>
    </row>
    <row r="178" spans="2:15" ht="18">
      <c r="B178" s="47" t="s">
        <v>150</v>
      </c>
      <c r="C178" s="49">
        <f>P197</f>
        <v>0.46599999999999997</v>
      </c>
      <c r="D178" s="4"/>
      <c r="I178" s="350" t="s">
        <v>885</v>
      </c>
    </row>
    <row r="179" spans="2:15">
      <c r="B179" s="47" t="s">
        <v>152</v>
      </c>
      <c r="C179" s="49">
        <v>0.75</v>
      </c>
      <c r="D179" s="4"/>
      <c r="E179" s="4"/>
      <c r="F179" s="4"/>
    </row>
    <row r="180" spans="2:15" ht="13.5" thickBot="1">
      <c r="B180" s="50" t="s">
        <v>154</v>
      </c>
      <c r="C180" s="51">
        <v>0.25</v>
      </c>
      <c r="D180" s="4"/>
      <c r="E180" s="4"/>
      <c r="F180" s="4"/>
    </row>
    <row r="182" spans="2:15" ht="15.75">
      <c r="B182" s="570" t="s">
        <v>143</v>
      </c>
      <c r="C182" s="571">
        <f>C184+C183*(C185-C184)</f>
        <v>0.41000000000000003</v>
      </c>
      <c r="D182" t="s">
        <v>744</v>
      </c>
      <c r="L182" s="579"/>
    </row>
    <row r="183" spans="2:15" ht="14.25">
      <c r="B183" s="570" t="s">
        <v>745</v>
      </c>
      <c r="C183" s="491">
        <v>1.8</v>
      </c>
      <c r="D183" t="s">
        <v>746</v>
      </c>
    </row>
    <row r="184" spans="2:15" ht="14.25">
      <c r="B184" s="570" t="s">
        <v>144</v>
      </c>
      <c r="C184" s="572">
        <v>0.05</v>
      </c>
      <c r="D184" t="s">
        <v>747</v>
      </c>
      <c r="N184" s="580">
        <f>L197</f>
        <v>37500000</v>
      </c>
      <c r="O184" s="208">
        <v>1</v>
      </c>
    </row>
    <row r="185" spans="2:15" ht="14.25">
      <c r="B185" s="570" t="s">
        <v>146</v>
      </c>
      <c r="C185" s="572">
        <v>0.25</v>
      </c>
      <c r="N185" s="580">
        <f>L194</f>
        <v>3000000</v>
      </c>
      <c r="O185" s="581">
        <f>(N185*O184)/N184</f>
        <v>0.08</v>
      </c>
    </row>
    <row r="187" spans="2:15">
      <c r="N187" s="580">
        <f>L197</f>
        <v>37500000</v>
      </c>
      <c r="O187" s="208">
        <v>1</v>
      </c>
    </row>
    <row r="188" spans="2:15" ht="14.25">
      <c r="B188" s="570"/>
      <c r="C188" s="574"/>
      <c r="D188" s="574"/>
      <c r="E188" s="574"/>
      <c r="F188" s="574"/>
      <c r="G188" s="574"/>
      <c r="H188" s="574"/>
      <c r="N188" s="582">
        <f>L195</f>
        <v>4500000</v>
      </c>
      <c r="O188" s="583">
        <f>(N188*O187)/N187</f>
        <v>0.12</v>
      </c>
    </row>
    <row r="189" spans="2:15">
      <c r="C189" s="303"/>
      <c r="D189" s="303"/>
      <c r="E189" s="303"/>
      <c r="F189" s="303"/>
      <c r="G189" s="303"/>
      <c r="H189" s="303"/>
    </row>
    <row r="190" spans="2:15">
      <c r="C190" s="303"/>
      <c r="D190" s="303"/>
      <c r="E190" s="303"/>
      <c r="F190" s="303"/>
      <c r="G190" s="303"/>
      <c r="H190" s="303"/>
      <c r="L190" t="s">
        <v>751</v>
      </c>
      <c r="N190" s="580">
        <f>L197</f>
        <v>37500000</v>
      </c>
      <c r="O190" s="208">
        <v>1</v>
      </c>
    </row>
    <row r="191" spans="2:15" ht="14.25">
      <c r="C191" s="575"/>
      <c r="D191" s="576"/>
      <c r="E191" s="574"/>
      <c r="F191" s="584"/>
      <c r="G191" s="576"/>
      <c r="H191" s="576"/>
      <c r="N191" s="582">
        <f>L196</f>
        <v>30000000</v>
      </c>
      <c r="O191" s="585">
        <f>(N191*O190)/N190</f>
        <v>0.8</v>
      </c>
    </row>
    <row r="193" spans="2:16" ht="14.25">
      <c r="L193" s="570" t="s">
        <v>752</v>
      </c>
      <c r="N193" s="491"/>
    </row>
    <row r="194" spans="2:16" ht="14.25">
      <c r="B194" s="570"/>
      <c r="C194" s="578"/>
      <c r="L194" s="582">
        <v>3000000</v>
      </c>
      <c r="N194" s="468">
        <v>0.5</v>
      </c>
      <c r="O194" s="586">
        <f>L194/$L$197</f>
        <v>0.08</v>
      </c>
      <c r="P194" s="578">
        <f>N194*O194</f>
        <v>0.04</v>
      </c>
    </row>
    <row r="195" spans="2:16" ht="15" thickBot="1">
      <c r="L195" s="582">
        <v>4500000</v>
      </c>
      <c r="N195" s="468">
        <v>0.35</v>
      </c>
      <c r="O195" s="587">
        <f>L195/$L$197</f>
        <v>0.12</v>
      </c>
      <c r="P195" s="578">
        <f>N195*O195</f>
        <v>4.1999999999999996E-2</v>
      </c>
    </row>
    <row r="196" spans="2:16" ht="15" thickBot="1">
      <c r="C196" s="1782" t="s">
        <v>888</v>
      </c>
      <c r="D196" s="1783"/>
      <c r="E196" s="1783"/>
      <c r="F196" s="1783"/>
      <c r="G196" s="1783"/>
      <c r="H196" s="1783"/>
      <c r="I196" s="1784"/>
      <c r="L196" s="588">
        <v>30000000</v>
      </c>
      <c r="N196" s="468">
        <v>0.48</v>
      </c>
      <c r="O196" s="590">
        <f>L196/$L$197</f>
        <v>0.8</v>
      </c>
      <c r="P196" s="578">
        <f>N196*O196</f>
        <v>0.38400000000000001</v>
      </c>
    </row>
    <row r="197" spans="2:16" ht="15">
      <c r="C197" s="772" t="s">
        <v>143</v>
      </c>
      <c r="D197" s="773">
        <f>D199+D198*(D200-D199)</f>
        <v>0.41000000000000003</v>
      </c>
      <c r="E197" s="774" t="s">
        <v>744</v>
      </c>
      <c r="F197" s="774"/>
      <c r="G197" s="774"/>
      <c r="H197" s="774"/>
      <c r="I197" s="775"/>
      <c r="L197" s="582">
        <f>SUM(L194:L196)</f>
        <v>37500000</v>
      </c>
      <c r="N197" s="491"/>
      <c r="P197" s="591">
        <f>SUM(P194:P196)</f>
        <v>0.46599999999999997</v>
      </c>
    </row>
    <row r="198" spans="2:16" ht="14.25">
      <c r="C198" s="776" t="s">
        <v>745</v>
      </c>
      <c r="D198" s="777">
        <v>1.8</v>
      </c>
      <c r="E198" s="257" t="s">
        <v>746</v>
      </c>
      <c r="F198" s="257"/>
      <c r="G198" s="257"/>
      <c r="H198" s="257"/>
      <c r="I198" s="778"/>
      <c r="N198" s="491"/>
    </row>
    <row r="199" spans="2:16" ht="14.25">
      <c r="C199" s="776" t="s">
        <v>144</v>
      </c>
      <c r="D199" s="779">
        <v>0.05</v>
      </c>
      <c r="E199" s="257" t="s">
        <v>747</v>
      </c>
      <c r="F199" s="257"/>
      <c r="G199" s="257"/>
      <c r="H199" s="257"/>
      <c r="I199" s="778"/>
    </row>
    <row r="200" spans="2:16" ht="14.25">
      <c r="C200" s="776" t="s">
        <v>146</v>
      </c>
      <c r="D200" s="779">
        <v>0.25</v>
      </c>
      <c r="E200" s="257"/>
      <c r="F200" s="257"/>
      <c r="G200" s="257"/>
      <c r="H200" s="257"/>
      <c r="I200" s="778"/>
      <c r="L200" s="548"/>
      <c r="M200" s="548"/>
      <c r="N200" s="548"/>
    </row>
    <row r="201" spans="2:16" ht="13.5" thickBot="1">
      <c r="C201" s="780"/>
      <c r="D201" s="781"/>
      <c r="E201" s="781"/>
      <c r="F201" s="781"/>
      <c r="G201" s="781"/>
      <c r="H201" s="781"/>
      <c r="I201" s="782"/>
      <c r="M201" s="787"/>
      <c r="N201" s="788"/>
    </row>
    <row r="202" spans="2:16">
      <c r="M202" s="787"/>
    </row>
    <row r="203" spans="2:16" ht="14.25">
      <c r="M203" s="789"/>
    </row>
  </sheetData>
  <mergeCells count="21">
    <mergeCell ref="V66:Y66"/>
    <mergeCell ref="A2:B12"/>
    <mergeCell ref="M30:N30"/>
    <mergeCell ref="O35:S35"/>
    <mergeCell ref="M41:O41"/>
    <mergeCell ref="M42:O42"/>
    <mergeCell ref="M45:O45"/>
    <mergeCell ref="L20:O20"/>
    <mergeCell ref="D61:D67"/>
    <mergeCell ref="I68:I72"/>
    <mergeCell ref="C98:I101"/>
    <mergeCell ref="C196:I196"/>
    <mergeCell ref="M76:Q76"/>
    <mergeCell ref="M84:Q84"/>
    <mergeCell ref="J126:M126"/>
    <mergeCell ref="E92:F92"/>
    <mergeCell ref="B85:K85"/>
    <mergeCell ref="K87:K91"/>
    <mergeCell ref="L87:L90"/>
    <mergeCell ref="M87:M91"/>
    <mergeCell ref="N86:O92"/>
  </mergeCells>
  <conditionalFormatting sqref="G63:K63">
    <cfRule type="containsText" dxfId="22"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23F5F-2E7B-4A99-A277-2A3F713E6459}">
  <sheetPr>
    <outlinePr summaryBelow="0" summaryRight="0"/>
  </sheetPr>
  <dimension ref="A1:AB96"/>
  <sheetViews>
    <sheetView zoomScaleNormal="100" workbookViewId="0">
      <selection activeCell="F60" sqref="F60"/>
    </sheetView>
  </sheetViews>
  <sheetFormatPr defaultColWidth="14.42578125" defaultRowHeight="15" customHeight="1"/>
  <cols>
    <col min="1" max="1" width="14.42578125" style="384"/>
    <col min="2" max="2" width="76.42578125" style="384" bestFit="1" customWidth="1"/>
    <col min="3" max="3" width="17.42578125" style="384" bestFit="1" customWidth="1"/>
    <col min="4" max="4" width="18.140625" style="384" customWidth="1"/>
    <col min="5" max="5" width="18.7109375" style="384" bestFit="1" customWidth="1"/>
    <col min="6" max="6" width="22.85546875" style="384" customWidth="1"/>
    <col min="7" max="7" width="19.14062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16384" width="14.42578125" style="384"/>
  </cols>
  <sheetData>
    <row r="1" spans="1:28" ht="14.25">
      <c r="A1" s="448"/>
    </row>
    <row r="2" spans="1:28" ht="15" customHeight="1">
      <c r="B2" s="1726" t="s">
        <v>628</v>
      </c>
      <c r="C2" s="1726"/>
      <c r="E2" s="791">
        <v>7002.8571428571404</v>
      </c>
    </row>
    <row r="3" spans="1:28" ht="15" customHeight="1">
      <c r="B3" s="1726"/>
      <c r="C3" s="1726"/>
      <c r="Q3" s="449" t="s">
        <v>629</v>
      </c>
      <c r="R3" s="449">
        <v>130000</v>
      </c>
      <c r="S3" s="384" t="s">
        <v>630</v>
      </c>
    </row>
    <row r="4" spans="1:28" ht="15" customHeight="1">
      <c r="B4" s="1726"/>
      <c r="C4" s="1726"/>
      <c r="Q4" s="449" t="s">
        <v>631</v>
      </c>
      <c r="R4" s="450">
        <v>9000</v>
      </c>
    </row>
    <row r="5" spans="1:28"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row>
    <row r="6" spans="1:28"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row>
    <row r="7" spans="1:28" ht="15" customHeight="1">
      <c r="B7" s="458" t="s">
        <v>634</v>
      </c>
      <c r="C7" s="459">
        <v>140000</v>
      </c>
      <c r="D7" s="452"/>
      <c r="E7" s="452">
        <f>$C$7/12</f>
        <v>11666.666666666666</v>
      </c>
      <c r="F7" s="452">
        <f t="shared" ref="F7:P7" si="0">$C$7/12</f>
        <v>11666.666666666666</v>
      </c>
      <c r="G7" s="452">
        <f t="shared" si="0"/>
        <v>11666.666666666666</v>
      </c>
      <c r="H7" s="452">
        <f t="shared" si="0"/>
        <v>11666.666666666666</v>
      </c>
      <c r="I7" s="452">
        <f t="shared" si="0"/>
        <v>11666.666666666666</v>
      </c>
      <c r="J7" s="452">
        <f t="shared" si="0"/>
        <v>11666.666666666666</v>
      </c>
      <c r="K7" s="452">
        <f t="shared" si="0"/>
        <v>11666.666666666666</v>
      </c>
      <c r="L7" s="452">
        <f t="shared" si="0"/>
        <v>11666.666666666666</v>
      </c>
      <c r="M7" s="452">
        <f t="shared" si="0"/>
        <v>11666.666666666666</v>
      </c>
      <c r="N7" s="452">
        <f t="shared" si="0"/>
        <v>11666.666666666666</v>
      </c>
      <c r="O7" s="452">
        <f t="shared" si="0"/>
        <v>11666.666666666666</v>
      </c>
      <c r="P7" s="452">
        <f t="shared" si="0"/>
        <v>11666.666666666666</v>
      </c>
      <c r="Q7" s="452">
        <f>R3/12</f>
        <v>10833.333333333334</v>
      </c>
      <c r="R7" s="452">
        <f>R3/12</f>
        <v>10833.333333333334</v>
      </c>
      <c r="S7" s="452">
        <f>R3/12</f>
        <v>10833.333333333334</v>
      </c>
      <c r="T7" s="452">
        <f>R3/12</f>
        <v>10833.333333333334</v>
      </c>
      <c r="U7" s="452">
        <f>R3/12</f>
        <v>10833.333333333334</v>
      </c>
      <c r="V7" s="452">
        <f>R3/12</f>
        <v>10833.333333333334</v>
      </c>
      <c r="W7" s="452">
        <f>R3/12</f>
        <v>10833.333333333334</v>
      </c>
      <c r="X7" s="452">
        <f>R3/12</f>
        <v>10833.333333333334</v>
      </c>
      <c r="Y7" s="452">
        <f>R3/12</f>
        <v>10833.333333333334</v>
      </c>
      <c r="Z7" s="452">
        <f>R3/12</f>
        <v>10833.333333333334</v>
      </c>
      <c r="AA7" s="452">
        <f>R3/12</f>
        <v>10833.333333333334</v>
      </c>
      <c r="AB7" s="452">
        <f>R3/12</f>
        <v>10833.333333333334</v>
      </c>
    </row>
    <row r="8" spans="1:28" ht="15" customHeight="1">
      <c r="B8" s="452"/>
      <c r="C8" s="452"/>
      <c r="D8" s="452"/>
      <c r="E8" s="452"/>
      <c r="F8" s="452"/>
      <c r="G8" s="452"/>
      <c r="H8" s="452"/>
      <c r="Q8" s="452"/>
      <c r="R8" s="452"/>
      <c r="S8" s="452"/>
      <c r="T8" s="452"/>
    </row>
    <row r="9" spans="1:28" ht="15" customHeight="1">
      <c r="B9" s="460" t="s">
        <v>220</v>
      </c>
      <c r="C9" s="450">
        <v>8502.86</v>
      </c>
      <c r="D9" s="452"/>
      <c r="E9" s="452"/>
      <c r="F9" s="452"/>
      <c r="G9" s="452"/>
      <c r="H9" s="452"/>
      <c r="Q9" s="452"/>
      <c r="R9" s="452"/>
      <c r="S9" s="452"/>
      <c r="T9" s="452"/>
    </row>
    <row r="10" spans="1:28" ht="15" customHeight="1">
      <c r="B10" s="461" t="s">
        <v>635</v>
      </c>
      <c r="C10" s="462">
        <v>0.3</v>
      </c>
      <c r="D10" s="792" t="s">
        <v>893</v>
      </c>
      <c r="E10" s="463">
        <f>($C$10*$C$9*E7)-500</f>
        <v>29759510</v>
      </c>
      <c r="F10" s="463">
        <f t="shared" ref="F10:AB10" si="1">($C$10*$C$9*F7)-500</f>
        <v>29759510</v>
      </c>
      <c r="G10" s="463">
        <f t="shared" si="1"/>
        <v>29759510</v>
      </c>
      <c r="H10" s="463">
        <f t="shared" si="1"/>
        <v>29759510</v>
      </c>
      <c r="I10" s="463">
        <f t="shared" si="1"/>
        <v>29759510</v>
      </c>
      <c r="J10" s="463">
        <f t="shared" si="1"/>
        <v>29759510</v>
      </c>
      <c r="K10" s="463">
        <f t="shared" si="1"/>
        <v>29759510</v>
      </c>
      <c r="L10" s="463">
        <f t="shared" si="1"/>
        <v>29759510</v>
      </c>
      <c r="M10" s="463">
        <f t="shared" si="1"/>
        <v>29759510</v>
      </c>
      <c r="N10" s="463">
        <f t="shared" si="1"/>
        <v>29759510</v>
      </c>
      <c r="O10" s="463">
        <f t="shared" si="1"/>
        <v>29759510</v>
      </c>
      <c r="P10" s="463">
        <f t="shared" si="1"/>
        <v>29759510</v>
      </c>
      <c r="Q10" s="463">
        <f t="shared" si="1"/>
        <v>27633795.000000004</v>
      </c>
      <c r="R10" s="463">
        <f t="shared" si="1"/>
        <v>27633795.000000004</v>
      </c>
      <c r="S10" s="463">
        <f t="shared" si="1"/>
        <v>27633795.000000004</v>
      </c>
      <c r="T10" s="463">
        <f t="shared" si="1"/>
        <v>27633795.000000004</v>
      </c>
      <c r="U10" s="463">
        <f t="shared" si="1"/>
        <v>27633795.000000004</v>
      </c>
      <c r="V10" s="463">
        <f t="shared" si="1"/>
        <v>27633795.000000004</v>
      </c>
      <c r="W10" s="463">
        <f t="shared" si="1"/>
        <v>27633795.000000004</v>
      </c>
      <c r="X10" s="463">
        <f t="shared" si="1"/>
        <v>27633795.000000004</v>
      </c>
      <c r="Y10" s="463">
        <f t="shared" si="1"/>
        <v>27633795.000000004</v>
      </c>
      <c r="Z10" s="463">
        <f t="shared" si="1"/>
        <v>27633795.000000004</v>
      </c>
      <c r="AA10" s="463">
        <f t="shared" si="1"/>
        <v>27633795.000000004</v>
      </c>
      <c r="AB10" s="463">
        <f t="shared" si="1"/>
        <v>27633795.000000004</v>
      </c>
    </row>
    <row r="11" spans="1:28" ht="15" customHeight="1">
      <c r="B11" s="461" t="s">
        <v>636</v>
      </c>
      <c r="C11" s="462">
        <v>0.7</v>
      </c>
      <c r="D11" s="452"/>
      <c r="E11" s="463"/>
      <c r="F11" s="463">
        <f t="shared" ref="F11:P11" si="2">$C$11*$C$9*F7</f>
        <v>69440023.333333328</v>
      </c>
      <c r="G11" s="463">
        <f t="shared" si="2"/>
        <v>69440023.333333328</v>
      </c>
      <c r="H11" s="463">
        <f t="shared" si="2"/>
        <v>69440023.333333328</v>
      </c>
      <c r="I11" s="463">
        <f t="shared" si="2"/>
        <v>69440023.333333328</v>
      </c>
      <c r="J11" s="463">
        <f t="shared" si="2"/>
        <v>69440023.333333328</v>
      </c>
      <c r="K11" s="463">
        <f t="shared" si="2"/>
        <v>69440023.333333328</v>
      </c>
      <c r="L11" s="463">
        <f t="shared" si="2"/>
        <v>69440023.333333328</v>
      </c>
      <c r="M11" s="463">
        <f t="shared" si="2"/>
        <v>69440023.333333328</v>
      </c>
      <c r="N11" s="463">
        <f t="shared" si="2"/>
        <v>69440023.333333328</v>
      </c>
      <c r="O11" s="463">
        <f t="shared" si="2"/>
        <v>69440023.333333328</v>
      </c>
      <c r="P11" s="463">
        <f t="shared" si="2"/>
        <v>69440023.333333328</v>
      </c>
      <c r="Q11" s="463">
        <f>$C$11*R4*Q7</f>
        <v>68250000</v>
      </c>
      <c r="R11" s="463">
        <f>$C$11*R4*R7</f>
        <v>68250000</v>
      </c>
      <c r="S11" s="463">
        <f>$C$11*R4*S7</f>
        <v>68250000</v>
      </c>
      <c r="T11" s="463">
        <f>$C$11*R4*T7</f>
        <v>68250000</v>
      </c>
      <c r="U11" s="463">
        <f>$C$11*R4*U7</f>
        <v>68250000</v>
      </c>
      <c r="V11" s="463">
        <f>$C$11*R4*V7</f>
        <v>68250000</v>
      </c>
      <c r="W11" s="463">
        <f>$C$11*R4*W7</f>
        <v>68250000</v>
      </c>
      <c r="X11" s="463">
        <f>$C$11*R4*X7</f>
        <v>68250000</v>
      </c>
      <c r="Y11" s="463">
        <f>$C$11*R4*Y7</f>
        <v>68250000</v>
      </c>
      <c r="Z11" s="463">
        <f>$C$11*R4*Z7</f>
        <v>68250000</v>
      </c>
      <c r="AA11" s="463">
        <f>$C$11*R4*AA7</f>
        <v>68250000</v>
      </c>
      <c r="AB11" s="463">
        <f>$C$11*R4*AB7</f>
        <v>68250000</v>
      </c>
    </row>
    <row r="12" spans="1:28" ht="15" customHeight="1">
      <c r="B12" s="461" t="s">
        <v>637</v>
      </c>
      <c r="C12" s="462">
        <v>0</v>
      </c>
      <c r="D12" s="452"/>
      <c r="E12" s="463"/>
      <c r="F12" s="463"/>
      <c r="G12" s="463">
        <f>$C12*$C$9*G7</f>
        <v>0</v>
      </c>
      <c r="H12" s="463">
        <f t="shared" ref="H12:P12" si="3">$C12*$C$9*H7</f>
        <v>0</v>
      </c>
      <c r="I12" s="463">
        <f t="shared" si="3"/>
        <v>0</v>
      </c>
      <c r="J12" s="463">
        <f t="shared" si="3"/>
        <v>0</v>
      </c>
      <c r="K12" s="463">
        <f t="shared" si="3"/>
        <v>0</v>
      </c>
      <c r="L12" s="463">
        <f t="shared" si="3"/>
        <v>0</v>
      </c>
      <c r="M12" s="463">
        <f t="shared" si="3"/>
        <v>0</v>
      </c>
      <c r="N12" s="463">
        <f t="shared" si="3"/>
        <v>0</v>
      </c>
      <c r="O12" s="463">
        <f t="shared" si="3"/>
        <v>0</v>
      </c>
      <c r="P12" s="463">
        <f t="shared" si="3"/>
        <v>0</v>
      </c>
      <c r="Q12" s="463">
        <f>$C12*R4*Q7</f>
        <v>0</v>
      </c>
      <c r="R12" s="463">
        <f>$C12*R4*R7</f>
        <v>0</v>
      </c>
      <c r="S12" s="463">
        <f>$C12*R4*S7</f>
        <v>0</v>
      </c>
      <c r="T12" s="463">
        <f>$C12*R4*T7</f>
        <v>0</v>
      </c>
      <c r="U12" s="463">
        <f>$C12*R4*U7</f>
        <v>0</v>
      </c>
      <c r="V12" s="463">
        <f>$C12*R4*V7</f>
        <v>0</v>
      </c>
      <c r="W12" s="463">
        <f>$C12*R4*W7</f>
        <v>0</v>
      </c>
      <c r="X12" s="463">
        <f>$C12*R4*X7</f>
        <v>0</v>
      </c>
      <c r="Y12" s="463">
        <f>$C12*R4*Y7</f>
        <v>0</v>
      </c>
      <c r="Z12" s="463">
        <f>$C12*R4*Z7</f>
        <v>0</v>
      </c>
      <c r="AA12" s="463">
        <f>$C12*R4*AA7</f>
        <v>0</v>
      </c>
      <c r="AB12" s="463">
        <f>$C12*R4*AB7</f>
        <v>0</v>
      </c>
    </row>
    <row r="13" spans="1:28" ht="15" customHeight="1">
      <c r="B13" s="464" t="s">
        <v>638</v>
      </c>
      <c r="C13" s="465">
        <v>0</v>
      </c>
      <c r="D13" s="466"/>
      <c r="E13" s="467"/>
      <c r="F13" s="467"/>
      <c r="G13" s="467"/>
      <c r="H13" s="467">
        <f t="shared" ref="H13:P13" si="4">$C$13*$C$9*H7</f>
        <v>0</v>
      </c>
      <c r="I13" s="467">
        <f t="shared" si="4"/>
        <v>0</v>
      </c>
      <c r="J13" s="467">
        <f t="shared" si="4"/>
        <v>0</v>
      </c>
      <c r="K13" s="467">
        <f t="shared" si="4"/>
        <v>0</v>
      </c>
      <c r="L13" s="467">
        <f t="shared" si="4"/>
        <v>0</v>
      </c>
      <c r="M13" s="467">
        <f t="shared" si="4"/>
        <v>0</v>
      </c>
      <c r="N13" s="467">
        <f t="shared" si="4"/>
        <v>0</v>
      </c>
      <c r="O13" s="467">
        <f t="shared" si="4"/>
        <v>0</v>
      </c>
      <c r="P13" s="467">
        <f t="shared" si="4"/>
        <v>0</v>
      </c>
      <c r="Q13" s="467">
        <f>$C$13*R4*Q7</f>
        <v>0</v>
      </c>
      <c r="R13" s="467">
        <f>$C$13*R4*R7</f>
        <v>0</v>
      </c>
      <c r="S13" s="467">
        <f>$C$13*R4*S7</f>
        <v>0</v>
      </c>
      <c r="T13" s="467">
        <f>$C$13*R4*T7</f>
        <v>0</v>
      </c>
      <c r="U13" s="467">
        <f>$C$13*R4*U7</f>
        <v>0</v>
      </c>
      <c r="V13" s="467">
        <f>$C$13*R4*V7</f>
        <v>0</v>
      </c>
      <c r="W13" s="467">
        <f>$C$13*R4*W7</f>
        <v>0</v>
      </c>
      <c r="X13" s="467">
        <f>$C$13*R4*X7</f>
        <v>0</v>
      </c>
      <c r="Y13" s="467">
        <f>$C$13*R4*Y7</f>
        <v>0</v>
      </c>
      <c r="Z13" s="467">
        <f>$C$13*R4*Z7</f>
        <v>0</v>
      </c>
      <c r="AA13" s="467">
        <f>$C$13*R4*AA7</f>
        <v>0</v>
      </c>
      <c r="AB13" s="467">
        <f>$C$13*R4*AB7</f>
        <v>0</v>
      </c>
    </row>
    <row r="14" spans="1:28" ht="15" customHeight="1">
      <c r="B14" s="461"/>
      <c r="C14" s="468">
        <f>SUM(C10:C13)</f>
        <v>1</v>
      </c>
      <c r="D14" s="452"/>
      <c r="E14" s="463">
        <f t="shared" ref="E14:AB14" si="5">SUM(E10:E13)</f>
        <v>29759510</v>
      </c>
      <c r="F14" s="463">
        <f t="shared" si="5"/>
        <v>99199533.333333328</v>
      </c>
      <c r="G14" s="463">
        <f t="shared" si="5"/>
        <v>99199533.333333328</v>
      </c>
      <c r="H14" s="463">
        <f t="shared" si="5"/>
        <v>99199533.333333328</v>
      </c>
      <c r="I14" s="463">
        <f t="shared" si="5"/>
        <v>99199533.333333328</v>
      </c>
      <c r="J14" s="463">
        <f t="shared" si="5"/>
        <v>99199533.333333328</v>
      </c>
      <c r="K14" s="463">
        <f t="shared" si="5"/>
        <v>99199533.333333328</v>
      </c>
      <c r="L14" s="463">
        <f t="shared" si="5"/>
        <v>99199533.333333328</v>
      </c>
      <c r="M14" s="463">
        <f t="shared" si="5"/>
        <v>99199533.333333328</v>
      </c>
      <c r="N14" s="463">
        <f t="shared" si="5"/>
        <v>99199533.333333328</v>
      </c>
      <c r="O14" s="463">
        <f t="shared" si="5"/>
        <v>99199533.333333328</v>
      </c>
      <c r="P14" s="463">
        <f t="shared" si="5"/>
        <v>99199533.333333328</v>
      </c>
      <c r="Q14" s="463">
        <f t="shared" si="5"/>
        <v>95883795</v>
      </c>
      <c r="R14" s="463">
        <f t="shared" si="5"/>
        <v>95883795</v>
      </c>
      <c r="S14" s="463">
        <f t="shared" si="5"/>
        <v>95883795</v>
      </c>
      <c r="T14" s="463">
        <f t="shared" si="5"/>
        <v>95883795</v>
      </c>
      <c r="U14" s="463">
        <f t="shared" si="5"/>
        <v>95883795</v>
      </c>
      <c r="V14" s="463">
        <f t="shared" si="5"/>
        <v>95883795</v>
      </c>
      <c r="W14" s="463">
        <f t="shared" si="5"/>
        <v>95883795</v>
      </c>
      <c r="X14" s="463">
        <f t="shared" si="5"/>
        <v>95883795</v>
      </c>
      <c r="Y14" s="463">
        <f t="shared" si="5"/>
        <v>95883795</v>
      </c>
      <c r="Z14" s="463">
        <f t="shared" si="5"/>
        <v>95883795</v>
      </c>
      <c r="AA14" s="463">
        <f t="shared" si="5"/>
        <v>95883795</v>
      </c>
      <c r="AB14" s="463">
        <f t="shared" si="5"/>
        <v>95883795</v>
      </c>
    </row>
    <row r="15" spans="1:28" ht="15" customHeight="1">
      <c r="B15" s="453" t="s">
        <v>639</v>
      </c>
      <c r="C15" s="452"/>
      <c r="D15" s="452"/>
      <c r="E15" s="452"/>
      <c r="F15" s="452"/>
      <c r="G15" s="452"/>
      <c r="H15" s="452"/>
      <c r="J15" s="469"/>
      <c r="K15" s="469"/>
      <c r="L15" s="469"/>
      <c r="M15" s="469"/>
      <c r="N15" s="469"/>
      <c r="Q15" s="452"/>
      <c r="R15" s="452"/>
      <c r="S15" s="452"/>
      <c r="T15" s="452"/>
      <c r="V15" s="469"/>
      <c r="W15" s="469"/>
      <c r="X15" s="469"/>
      <c r="Y15" s="469"/>
      <c r="Z15" s="469"/>
    </row>
    <row r="16" spans="1:28" ht="15" customHeight="1">
      <c r="B16" s="630" t="s">
        <v>640</v>
      </c>
      <c r="C16" s="470">
        <v>0</v>
      </c>
      <c r="D16" s="452"/>
      <c r="E16" s="471">
        <f>-E14*(0.65)*$C$16</f>
        <v>0</v>
      </c>
      <c r="F16" s="471">
        <f>-F14*$C$16</f>
        <v>0</v>
      </c>
      <c r="G16" s="471">
        <f t="shared" ref="G16:P16" si="6">-G14*(0.65)*$C$16</f>
        <v>0</v>
      </c>
      <c r="H16" s="471">
        <f t="shared" si="6"/>
        <v>0</v>
      </c>
      <c r="I16" s="471">
        <f t="shared" si="6"/>
        <v>0</v>
      </c>
      <c r="J16" s="471">
        <f t="shared" si="6"/>
        <v>0</v>
      </c>
      <c r="K16" s="471">
        <f t="shared" si="6"/>
        <v>0</v>
      </c>
      <c r="L16" s="471">
        <f t="shared" si="6"/>
        <v>0</v>
      </c>
      <c r="M16" s="471">
        <f t="shared" si="6"/>
        <v>0</v>
      </c>
      <c r="N16" s="471">
        <f t="shared" si="6"/>
        <v>0</v>
      </c>
      <c r="O16" s="471">
        <f t="shared" si="6"/>
        <v>0</v>
      </c>
      <c r="P16" s="471">
        <f t="shared" si="6"/>
        <v>0</v>
      </c>
      <c r="Q16" s="471">
        <f>-Q14*(0.65)*$C$16</f>
        <v>0</v>
      </c>
      <c r="R16" s="471">
        <f t="shared" ref="R16:AB16" si="7">-R14*(0.65)*$C$16</f>
        <v>0</v>
      </c>
      <c r="S16" s="471">
        <f t="shared" si="7"/>
        <v>0</v>
      </c>
      <c r="T16" s="471">
        <f t="shared" si="7"/>
        <v>0</v>
      </c>
      <c r="U16" s="471">
        <f t="shared" si="7"/>
        <v>0</v>
      </c>
      <c r="V16" s="471">
        <f t="shared" si="7"/>
        <v>0</v>
      </c>
      <c r="W16" s="471">
        <f t="shared" si="7"/>
        <v>0</v>
      </c>
      <c r="X16" s="471">
        <f t="shared" si="7"/>
        <v>0</v>
      </c>
      <c r="Y16" s="471">
        <f t="shared" si="7"/>
        <v>0</v>
      </c>
      <c r="Z16" s="471">
        <f t="shared" si="7"/>
        <v>0</v>
      </c>
      <c r="AA16" s="471">
        <f t="shared" si="7"/>
        <v>0</v>
      </c>
      <c r="AB16" s="471">
        <f t="shared" si="7"/>
        <v>0</v>
      </c>
    </row>
    <row r="17" spans="2:28" ht="15" customHeight="1">
      <c r="B17" s="629" t="s">
        <v>442</v>
      </c>
      <c r="C17" s="473">
        <v>0</v>
      </c>
      <c r="D17" s="472"/>
      <c r="E17" s="474">
        <f>-E14*(0.35)*$C$17</f>
        <v>0</v>
      </c>
      <c r="F17" s="474">
        <f>-F14*$C$17</f>
        <v>0</v>
      </c>
      <c r="G17" s="474">
        <f t="shared" ref="G17:P17" si="8">-G14*(0.35)*$C$17</f>
        <v>0</v>
      </c>
      <c r="H17" s="474">
        <f t="shared" si="8"/>
        <v>0</v>
      </c>
      <c r="I17" s="474">
        <f t="shared" si="8"/>
        <v>0</v>
      </c>
      <c r="J17" s="474">
        <f t="shared" si="8"/>
        <v>0</v>
      </c>
      <c r="K17" s="474">
        <f t="shared" si="8"/>
        <v>0</v>
      </c>
      <c r="L17" s="474">
        <f t="shared" si="8"/>
        <v>0</v>
      </c>
      <c r="M17" s="474">
        <f t="shared" si="8"/>
        <v>0</v>
      </c>
      <c r="N17" s="474">
        <f t="shared" si="8"/>
        <v>0</v>
      </c>
      <c r="O17" s="474">
        <f t="shared" si="8"/>
        <v>0</v>
      </c>
      <c r="P17" s="474">
        <f t="shared" si="8"/>
        <v>0</v>
      </c>
      <c r="Q17" s="474">
        <f>-Q14*(0.35)*$C$17</f>
        <v>0</v>
      </c>
      <c r="R17" s="474">
        <f t="shared" ref="R17:AB17" si="9">-R14*(0.35)*$C$17</f>
        <v>0</v>
      </c>
      <c r="S17" s="474">
        <f t="shared" si="9"/>
        <v>0</v>
      </c>
      <c r="T17" s="474">
        <f t="shared" si="9"/>
        <v>0</v>
      </c>
      <c r="U17" s="474">
        <f t="shared" si="9"/>
        <v>0</v>
      </c>
      <c r="V17" s="474">
        <f t="shared" si="9"/>
        <v>0</v>
      </c>
      <c r="W17" s="474">
        <f t="shared" si="9"/>
        <v>0</v>
      </c>
      <c r="X17" s="474">
        <f t="shared" si="9"/>
        <v>0</v>
      </c>
      <c r="Y17" s="474">
        <f t="shared" si="9"/>
        <v>0</v>
      </c>
      <c r="Z17" s="474">
        <f t="shared" si="9"/>
        <v>0</v>
      </c>
      <c r="AA17" s="474">
        <f t="shared" si="9"/>
        <v>0</v>
      </c>
      <c r="AB17" s="474">
        <f t="shared" si="9"/>
        <v>0</v>
      </c>
    </row>
    <row r="18" spans="2:28" ht="15" customHeight="1">
      <c r="B18" s="452"/>
      <c r="C18" s="452"/>
      <c r="D18" s="452"/>
      <c r="E18" s="463">
        <f>SUM(E14:E17)</f>
        <v>29759510</v>
      </c>
      <c r="F18" s="463">
        <f t="shared" ref="F18:P18" si="10">SUM(F14:F17)</f>
        <v>99199533.333333328</v>
      </c>
      <c r="G18" s="463">
        <f t="shared" si="10"/>
        <v>99199533.333333328</v>
      </c>
      <c r="H18" s="463">
        <f t="shared" si="10"/>
        <v>99199533.333333328</v>
      </c>
      <c r="I18" s="463">
        <f t="shared" si="10"/>
        <v>99199533.333333328</v>
      </c>
      <c r="J18" s="463">
        <f t="shared" si="10"/>
        <v>99199533.333333328</v>
      </c>
      <c r="K18" s="463">
        <f t="shared" si="10"/>
        <v>99199533.333333328</v>
      </c>
      <c r="L18" s="463">
        <f t="shared" si="10"/>
        <v>99199533.333333328</v>
      </c>
      <c r="M18" s="463">
        <f t="shared" si="10"/>
        <v>99199533.333333328</v>
      </c>
      <c r="N18" s="463">
        <f t="shared" si="10"/>
        <v>99199533.333333328</v>
      </c>
      <c r="O18" s="463">
        <f t="shared" si="10"/>
        <v>99199533.333333328</v>
      </c>
      <c r="P18" s="463">
        <f t="shared" si="10"/>
        <v>99199533.333333328</v>
      </c>
      <c r="Q18" s="463">
        <f>SUM(Q14:Q17)</f>
        <v>95883795</v>
      </c>
      <c r="R18" s="463">
        <f t="shared" ref="R18:AB18" si="11">SUM(R14:R17)</f>
        <v>95883795</v>
      </c>
      <c r="S18" s="463">
        <f t="shared" si="11"/>
        <v>95883795</v>
      </c>
      <c r="T18" s="463">
        <f t="shared" si="11"/>
        <v>95883795</v>
      </c>
      <c r="U18" s="463">
        <f t="shared" si="11"/>
        <v>95883795</v>
      </c>
      <c r="V18" s="463">
        <f t="shared" si="11"/>
        <v>95883795</v>
      </c>
      <c r="W18" s="463">
        <f t="shared" si="11"/>
        <v>95883795</v>
      </c>
      <c r="X18" s="463">
        <f t="shared" si="11"/>
        <v>95883795</v>
      </c>
      <c r="Y18" s="463">
        <f t="shared" si="11"/>
        <v>95883795</v>
      </c>
      <c r="Z18" s="463">
        <f t="shared" si="11"/>
        <v>95883795</v>
      </c>
      <c r="AA18" s="463">
        <f t="shared" si="11"/>
        <v>95883795</v>
      </c>
      <c r="AB18" s="463">
        <f t="shared" si="11"/>
        <v>95883795</v>
      </c>
    </row>
    <row r="19" spans="2:28" ht="15" customHeight="1">
      <c r="B19" s="452"/>
      <c r="C19" s="452"/>
      <c r="D19" s="452"/>
      <c r="E19" s="452"/>
      <c r="F19" s="452"/>
      <c r="G19" s="452"/>
      <c r="H19" s="452"/>
      <c r="J19" s="469"/>
      <c r="K19" s="469"/>
      <c r="L19" s="469"/>
      <c r="M19" s="469"/>
      <c r="N19" s="469"/>
      <c r="Q19" s="452"/>
      <c r="R19" s="452"/>
      <c r="S19" s="452"/>
      <c r="T19" s="452"/>
      <c r="V19" s="469"/>
      <c r="W19" s="469"/>
      <c r="X19" s="469"/>
      <c r="Y19" s="469"/>
      <c r="Z19" s="469"/>
    </row>
    <row r="20" spans="2:28" ht="15" customHeight="1">
      <c r="B20" s="452"/>
      <c r="C20" s="452"/>
      <c r="D20" s="452"/>
      <c r="E20" s="1727" t="s">
        <v>451</v>
      </c>
      <c r="F20" s="1727"/>
      <c r="G20" s="1727"/>
      <c r="H20" s="1727"/>
      <c r="I20" s="1727"/>
      <c r="J20" s="1727"/>
      <c r="K20" s="1727"/>
      <c r="L20" s="1727"/>
      <c r="M20" s="1727"/>
      <c r="N20" s="1727"/>
      <c r="O20" s="1727"/>
      <c r="P20" s="1727"/>
      <c r="Q20" s="1727" t="s">
        <v>632</v>
      </c>
      <c r="R20" s="1727"/>
      <c r="S20" s="1727"/>
      <c r="T20" s="1727"/>
      <c r="U20" s="1727"/>
      <c r="V20" s="1727"/>
      <c r="W20" s="1727"/>
      <c r="X20" s="1727"/>
      <c r="Y20" s="1727"/>
      <c r="Z20" s="1727"/>
      <c r="AA20" s="1727"/>
      <c r="AB20" s="1727"/>
    </row>
    <row r="21" spans="2:28" ht="15" customHeight="1">
      <c r="B21" s="451" t="s">
        <v>451</v>
      </c>
      <c r="C21" s="452"/>
      <c r="D21" s="475">
        <v>0</v>
      </c>
      <c r="E21" s="475">
        <v>1</v>
      </c>
      <c r="F21" s="475">
        <v>2</v>
      </c>
      <c r="G21" s="475">
        <v>3</v>
      </c>
      <c r="H21" s="475">
        <v>4</v>
      </c>
      <c r="I21" s="475">
        <v>5</v>
      </c>
      <c r="J21" s="475">
        <v>6</v>
      </c>
      <c r="K21" s="475">
        <v>7</v>
      </c>
      <c r="L21" s="475">
        <v>8</v>
      </c>
      <c r="M21" s="475">
        <v>9</v>
      </c>
      <c r="N21" s="475">
        <v>10</v>
      </c>
      <c r="O21" s="475">
        <v>11</v>
      </c>
      <c r="P21" s="475">
        <v>12</v>
      </c>
      <c r="Q21" s="475">
        <v>13</v>
      </c>
      <c r="R21" s="475">
        <v>14</v>
      </c>
      <c r="S21" s="475">
        <v>15</v>
      </c>
      <c r="T21" s="475">
        <v>16</v>
      </c>
      <c r="U21" s="475">
        <v>17</v>
      </c>
      <c r="V21" s="475">
        <v>18</v>
      </c>
      <c r="W21" s="475">
        <v>19</v>
      </c>
      <c r="X21" s="475">
        <v>20</v>
      </c>
      <c r="Y21" s="475">
        <v>21</v>
      </c>
      <c r="Z21" s="475">
        <v>22</v>
      </c>
      <c r="AA21" s="475">
        <v>23</v>
      </c>
      <c r="AB21" s="475">
        <v>24</v>
      </c>
    </row>
    <row r="22" spans="2:28" ht="15" customHeight="1">
      <c r="B22" s="476" t="s">
        <v>641</v>
      </c>
      <c r="C22" s="452"/>
      <c r="D22" s="452"/>
      <c r="E22" s="452"/>
      <c r="F22" s="452"/>
      <c r="G22" s="452"/>
      <c r="H22" s="452"/>
      <c r="J22" s="469"/>
      <c r="K22" s="469"/>
      <c r="L22" s="469"/>
      <c r="M22" s="469"/>
      <c r="N22" s="469"/>
      <c r="Q22" s="452"/>
      <c r="R22" s="452"/>
      <c r="S22" s="452"/>
      <c r="T22" s="452"/>
      <c r="V22" s="469"/>
      <c r="W22" s="469"/>
      <c r="X22" s="469"/>
      <c r="Y22" s="469"/>
      <c r="Z22" s="469"/>
    </row>
    <row r="23" spans="2:28" ht="15" customHeight="1">
      <c r="B23" s="452" t="s">
        <v>184</v>
      </c>
      <c r="C23" s="452"/>
      <c r="D23" s="452"/>
      <c r="E23" s="463">
        <f>E18*1</f>
        <v>29759510</v>
      </c>
      <c r="F23" s="463">
        <f t="shared" ref="F23:AB23" si="12">F18*1</f>
        <v>99199533.333333328</v>
      </c>
      <c r="G23" s="463">
        <f t="shared" si="12"/>
        <v>99199533.333333328</v>
      </c>
      <c r="H23" s="463">
        <f t="shared" si="12"/>
        <v>99199533.333333328</v>
      </c>
      <c r="I23" s="463">
        <f t="shared" si="12"/>
        <v>99199533.333333328</v>
      </c>
      <c r="J23" s="463">
        <f t="shared" si="12"/>
        <v>99199533.333333328</v>
      </c>
      <c r="K23" s="463">
        <f t="shared" si="12"/>
        <v>99199533.333333328</v>
      </c>
      <c r="L23" s="463">
        <f t="shared" si="12"/>
        <v>99199533.333333328</v>
      </c>
      <c r="M23" s="463">
        <f t="shared" si="12"/>
        <v>99199533.333333328</v>
      </c>
      <c r="N23" s="463">
        <f t="shared" si="12"/>
        <v>99199533.333333328</v>
      </c>
      <c r="O23" s="463">
        <f t="shared" si="12"/>
        <v>99199533.333333328</v>
      </c>
      <c r="P23" s="463">
        <f t="shared" si="12"/>
        <v>99199533.333333328</v>
      </c>
      <c r="Q23" s="463">
        <f t="shared" si="12"/>
        <v>95883795</v>
      </c>
      <c r="R23" s="463">
        <f t="shared" si="12"/>
        <v>95883795</v>
      </c>
      <c r="S23" s="463">
        <f t="shared" si="12"/>
        <v>95883795</v>
      </c>
      <c r="T23" s="463">
        <f t="shared" si="12"/>
        <v>95883795</v>
      </c>
      <c r="U23" s="463">
        <f t="shared" si="12"/>
        <v>95883795</v>
      </c>
      <c r="V23" s="463">
        <f t="shared" si="12"/>
        <v>95883795</v>
      </c>
      <c r="W23" s="463">
        <f t="shared" si="12"/>
        <v>95883795</v>
      </c>
      <c r="X23" s="463">
        <f t="shared" si="12"/>
        <v>95883795</v>
      </c>
      <c r="Y23" s="463">
        <f t="shared" si="12"/>
        <v>95883795</v>
      </c>
      <c r="Z23" s="463">
        <f t="shared" si="12"/>
        <v>95883795</v>
      </c>
      <c r="AA23" s="463">
        <f t="shared" si="12"/>
        <v>95883795</v>
      </c>
      <c r="AB23" s="463">
        <f t="shared" si="12"/>
        <v>95883795</v>
      </c>
    </row>
    <row r="24" spans="2:28" ht="15" customHeight="1">
      <c r="B24" s="452"/>
      <c r="C24" s="452"/>
      <c r="D24" s="452"/>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row>
    <row r="25" spans="2:28" s="479" customFormat="1" ht="15" customHeight="1">
      <c r="B25" s="458" t="s">
        <v>642</v>
      </c>
      <c r="C25" s="625">
        <v>140000</v>
      </c>
      <c r="D25" s="478"/>
      <c r="E25" s="478">
        <f>$C$25/12</f>
        <v>11666.666666666666</v>
      </c>
      <c r="F25" s="478">
        <f t="shared" ref="F25:AB25" si="13">$C$25/12</f>
        <v>11666.666666666666</v>
      </c>
      <c r="G25" s="478">
        <f t="shared" si="13"/>
        <v>11666.666666666666</v>
      </c>
      <c r="H25" s="478">
        <f t="shared" si="13"/>
        <v>11666.666666666666</v>
      </c>
      <c r="I25" s="478">
        <f t="shared" si="13"/>
        <v>11666.666666666666</v>
      </c>
      <c r="J25" s="478">
        <f t="shared" si="13"/>
        <v>11666.666666666666</v>
      </c>
      <c r="K25" s="478">
        <f t="shared" si="13"/>
        <v>11666.666666666666</v>
      </c>
      <c r="L25" s="478">
        <f t="shared" si="13"/>
        <v>11666.666666666666</v>
      </c>
      <c r="M25" s="478">
        <f t="shared" si="13"/>
        <v>11666.666666666666</v>
      </c>
      <c r="N25" s="478">
        <f t="shared" si="13"/>
        <v>11666.666666666666</v>
      </c>
      <c r="O25" s="478">
        <f t="shared" si="13"/>
        <v>11666.666666666666</v>
      </c>
      <c r="P25" s="478">
        <f t="shared" si="13"/>
        <v>11666.666666666666</v>
      </c>
      <c r="Q25" s="478">
        <f>$C$25/12</f>
        <v>11666.666666666666</v>
      </c>
      <c r="R25" s="478">
        <f t="shared" si="13"/>
        <v>11666.666666666666</v>
      </c>
      <c r="S25" s="478">
        <f t="shared" si="13"/>
        <v>11666.666666666666</v>
      </c>
      <c r="T25" s="478">
        <f t="shared" si="13"/>
        <v>11666.666666666666</v>
      </c>
      <c r="U25" s="478">
        <f t="shared" si="13"/>
        <v>11666.666666666666</v>
      </c>
      <c r="V25" s="478">
        <f t="shared" si="13"/>
        <v>11666.666666666666</v>
      </c>
      <c r="W25" s="478">
        <f t="shared" si="13"/>
        <v>11666.666666666666</v>
      </c>
      <c r="X25" s="478">
        <f t="shared" si="13"/>
        <v>11666.666666666666</v>
      </c>
      <c r="Y25" s="478">
        <f t="shared" si="13"/>
        <v>11666.666666666666</v>
      </c>
      <c r="Z25" s="478">
        <f t="shared" si="13"/>
        <v>11666.666666666666</v>
      </c>
      <c r="AA25" s="478">
        <f t="shared" si="13"/>
        <v>11666.666666666666</v>
      </c>
      <c r="AB25" s="478">
        <f t="shared" si="13"/>
        <v>11666.666666666666</v>
      </c>
    </row>
    <row r="26" spans="2:28" ht="15" customHeight="1">
      <c r="B26" s="476" t="s">
        <v>643</v>
      </c>
      <c r="C26" s="452"/>
      <c r="D26" s="452"/>
      <c r="E26" s="452"/>
      <c r="F26" s="452"/>
      <c r="G26" s="452"/>
      <c r="H26" s="452"/>
      <c r="J26" s="469"/>
      <c r="K26" s="469"/>
      <c r="L26" s="469"/>
      <c r="M26" s="469"/>
      <c r="N26" s="469"/>
      <c r="Q26" s="452"/>
      <c r="R26" s="452"/>
      <c r="S26" s="452"/>
      <c r="T26" s="452"/>
      <c r="V26" s="469"/>
      <c r="W26" s="469"/>
      <c r="X26" s="469"/>
      <c r="Y26" s="469"/>
      <c r="Z26" s="469"/>
    </row>
    <row r="27" spans="2:28" ht="15" customHeight="1">
      <c r="B27" s="480" t="s">
        <v>644</v>
      </c>
      <c r="C27" s="452"/>
      <c r="D27" s="452"/>
      <c r="E27" s="452"/>
      <c r="F27" s="452"/>
      <c r="G27" s="452"/>
      <c r="H27" s="452"/>
      <c r="J27" s="469"/>
      <c r="K27" s="469"/>
      <c r="L27" s="469"/>
      <c r="M27" s="469"/>
      <c r="N27" s="469"/>
      <c r="Q27" s="452"/>
      <c r="R27" s="452"/>
      <c r="S27" s="452"/>
      <c r="T27" s="452"/>
      <c r="V27" s="469"/>
      <c r="W27" s="469"/>
      <c r="X27" s="469"/>
      <c r="Y27" s="469"/>
      <c r="Z27" s="469"/>
    </row>
    <row r="28" spans="2:28">
      <c r="B28" s="452" t="s">
        <v>598</v>
      </c>
      <c r="C28" s="450"/>
      <c r="D28" s="452"/>
      <c r="E28" s="471">
        <f>-$C28*$E$25</f>
        <v>0</v>
      </c>
      <c r="F28" s="471">
        <f t="shared" ref="F28:P28" si="14">-$C28*F25</f>
        <v>0</v>
      </c>
      <c r="G28" s="471">
        <f t="shared" si="14"/>
        <v>0</v>
      </c>
      <c r="H28" s="471">
        <f t="shared" si="14"/>
        <v>0</v>
      </c>
      <c r="I28" s="471">
        <f t="shared" si="14"/>
        <v>0</v>
      </c>
      <c r="J28" s="471">
        <f t="shared" si="14"/>
        <v>0</v>
      </c>
      <c r="K28" s="471">
        <f t="shared" si="14"/>
        <v>0</v>
      </c>
      <c r="L28" s="471">
        <f t="shared" si="14"/>
        <v>0</v>
      </c>
      <c r="M28" s="471">
        <f t="shared" si="14"/>
        <v>0</v>
      </c>
      <c r="N28" s="471">
        <f t="shared" si="14"/>
        <v>0</v>
      </c>
      <c r="O28" s="471">
        <f t="shared" si="14"/>
        <v>0</v>
      </c>
      <c r="P28" s="471">
        <f t="shared" si="14"/>
        <v>0</v>
      </c>
      <c r="Q28" s="471">
        <f>-$C28*Q25</f>
        <v>0</v>
      </c>
      <c r="R28" s="471">
        <f t="shared" ref="R28:AB28" si="15">-$C28*R25</f>
        <v>0</v>
      </c>
      <c r="S28" s="471">
        <f t="shared" si="15"/>
        <v>0</v>
      </c>
      <c r="T28" s="471">
        <f t="shared" si="15"/>
        <v>0</v>
      </c>
      <c r="U28" s="471">
        <f t="shared" si="15"/>
        <v>0</v>
      </c>
      <c r="V28" s="471">
        <f t="shared" si="15"/>
        <v>0</v>
      </c>
      <c r="W28" s="471">
        <f t="shared" si="15"/>
        <v>0</v>
      </c>
      <c r="X28" s="471">
        <f t="shared" si="15"/>
        <v>0</v>
      </c>
      <c r="Y28" s="471">
        <f t="shared" si="15"/>
        <v>0</v>
      </c>
      <c r="Z28" s="471">
        <f t="shared" si="15"/>
        <v>0</v>
      </c>
      <c r="AA28" s="471">
        <f t="shared" si="15"/>
        <v>0</v>
      </c>
      <c r="AB28" s="471">
        <f t="shared" si="15"/>
        <v>0</v>
      </c>
    </row>
    <row r="29" spans="2:28">
      <c r="B29" s="452" t="s">
        <v>645</v>
      </c>
      <c r="C29" s="450"/>
      <c r="D29" s="452"/>
      <c r="E29" s="471">
        <f>-$C29*$E$25</f>
        <v>0</v>
      </c>
      <c r="F29" s="471">
        <f t="shared" ref="F29:P29" si="16">-$C29*F25</f>
        <v>0</v>
      </c>
      <c r="G29" s="471">
        <f t="shared" si="16"/>
        <v>0</v>
      </c>
      <c r="H29" s="471">
        <f t="shared" si="16"/>
        <v>0</v>
      </c>
      <c r="I29" s="471">
        <f t="shared" si="16"/>
        <v>0</v>
      </c>
      <c r="J29" s="471">
        <f t="shared" si="16"/>
        <v>0</v>
      </c>
      <c r="K29" s="471">
        <f t="shared" si="16"/>
        <v>0</v>
      </c>
      <c r="L29" s="471">
        <f t="shared" si="16"/>
        <v>0</v>
      </c>
      <c r="M29" s="471">
        <f t="shared" si="16"/>
        <v>0</v>
      </c>
      <c r="N29" s="471">
        <f t="shared" si="16"/>
        <v>0</v>
      </c>
      <c r="O29" s="471">
        <f t="shared" si="16"/>
        <v>0</v>
      </c>
      <c r="P29" s="471">
        <f t="shared" si="16"/>
        <v>0</v>
      </c>
      <c r="Q29" s="471">
        <f>-$C29*Q25</f>
        <v>0</v>
      </c>
      <c r="R29" s="471">
        <f t="shared" ref="R29:AB29" si="17">-$C29*R25</f>
        <v>0</v>
      </c>
      <c r="S29" s="471">
        <f t="shared" si="17"/>
        <v>0</v>
      </c>
      <c r="T29" s="471">
        <f t="shared" si="17"/>
        <v>0</v>
      </c>
      <c r="U29" s="471">
        <f t="shared" si="17"/>
        <v>0</v>
      </c>
      <c r="V29" s="471">
        <f t="shared" si="17"/>
        <v>0</v>
      </c>
      <c r="W29" s="471">
        <f t="shared" si="17"/>
        <v>0</v>
      </c>
      <c r="X29" s="471">
        <f t="shared" si="17"/>
        <v>0</v>
      </c>
      <c r="Y29" s="471">
        <f t="shared" si="17"/>
        <v>0</v>
      </c>
      <c r="Z29" s="471">
        <f t="shared" si="17"/>
        <v>0</v>
      </c>
      <c r="AA29" s="471">
        <f t="shared" si="17"/>
        <v>0</v>
      </c>
      <c r="AB29" s="471">
        <f t="shared" si="17"/>
        <v>0</v>
      </c>
    </row>
    <row r="30" spans="2:28">
      <c r="B30" s="452" t="s">
        <v>600</v>
      </c>
      <c r="C30" s="450"/>
      <c r="D30" s="452"/>
      <c r="E30" s="471">
        <f>-$C30*$E$25</f>
        <v>0</v>
      </c>
      <c r="F30" s="471">
        <f t="shared" ref="F30:P30" si="18">-$C30*F25</f>
        <v>0</v>
      </c>
      <c r="G30" s="471">
        <f t="shared" si="18"/>
        <v>0</v>
      </c>
      <c r="H30" s="471">
        <f t="shared" si="18"/>
        <v>0</v>
      </c>
      <c r="I30" s="471">
        <f t="shared" si="18"/>
        <v>0</v>
      </c>
      <c r="J30" s="471">
        <f t="shared" si="18"/>
        <v>0</v>
      </c>
      <c r="K30" s="471">
        <f t="shared" si="18"/>
        <v>0</v>
      </c>
      <c r="L30" s="471">
        <f t="shared" si="18"/>
        <v>0</v>
      </c>
      <c r="M30" s="471">
        <f t="shared" si="18"/>
        <v>0</v>
      </c>
      <c r="N30" s="471">
        <f t="shared" si="18"/>
        <v>0</v>
      </c>
      <c r="O30" s="471">
        <f t="shared" si="18"/>
        <v>0</v>
      </c>
      <c r="P30" s="471">
        <f t="shared" si="18"/>
        <v>0</v>
      </c>
      <c r="Q30" s="471">
        <f>-$C30*Q25</f>
        <v>0</v>
      </c>
      <c r="R30" s="471">
        <f t="shared" ref="R30:AB30" si="19">-$C30*R25</f>
        <v>0</v>
      </c>
      <c r="S30" s="471">
        <f t="shared" si="19"/>
        <v>0</v>
      </c>
      <c r="T30" s="471">
        <f t="shared" si="19"/>
        <v>0</v>
      </c>
      <c r="U30" s="471">
        <f t="shared" si="19"/>
        <v>0</v>
      </c>
      <c r="V30" s="471">
        <f t="shared" si="19"/>
        <v>0</v>
      </c>
      <c r="W30" s="471">
        <f t="shared" si="19"/>
        <v>0</v>
      </c>
      <c r="X30" s="471">
        <f t="shared" si="19"/>
        <v>0</v>
      </c>
      <c r="Y30" s="471">
        <f t="shared" si="19"/>
        <v>0</v>
      </c>
      <c r="Z30" s="471">
        <f t="shared" si="19"/>
        <v>0</v>
      </c>
      <c r="AA30" s="471">
        <f t="shared" si="19"/>
        <v>0</v>
      </c>
      <c r="AB30" s="471">
        <f t="shared" si="19"/>
        <v>0</v>
      </c>
    </row>
    <row r="31" spans="2:28">
      <c r="B31" s="452" t="s">
        <v>181</v>
      </c>
      <c r="C31" s="450"/>
      <c r="D31" s="452"/>
      <c r="E31" s="471">
        <f>-$C31*$E$25</f>
        <v>0</v>
      </c>
      <c r="F31" s="471">
        <f t="shared" ref="F31:T31" si="20">-$C31*$E$25</f>
        <v>0</v>
      </c>
      <c r="G31" s="471">
        <f t="shared" si="20"/>
        <v>0</v>
      </c>
      <c r="H31" s="471">
        <f t="shared" si="20"/>
        <v>0</v>
      </c>
      <c r="I31" s="471">
        <f t="shared" si="20"/>
        <v>0</v>
      </c>
      <c r="J31" s="471">
        <f t="shared" si="20"/>
        <v>0</v>
      </c>
      <c r="K31" s="471">
        <f t="shared" si="20"/>
        <v>0</v>
      </c>
      <c r="L31" s="471">
        <f t="shared" si="20"/>
        <v>0</v>
      </c>
      <c r="M31" s="471">
        <f t="shared" si="20"/>
        <v>0</v>
      </c>
      <c r="N31" s="471">
        <f t="shared" si="20"/>
        <v>0</v>
      </c>
      <c r="O31" s="471">
        <f t="shared" si="20"/>
        <v>0</v>
      </c>
      <c r="P31" s="471">
        <f t="shared" si="20"/>
        <v>0</v>
      </c>
      <c r="Q31" s="471">
        <f t="shared" si="20"/>
        <v>0</v>
      </c>
      <c r="R31" s="471">
        <f t="shared" si="20"/>
        <v>0</v>
      </c>
      <c r="S31" s="471">
        <f t="shared" si="20"/>
        <v>0</v>
      </c>
      <c r="T31" s="471">
        <f t="shared" si="20"/>
        <v>0</v>
      </c>
      <c r="U31" s="471">
        <f t="shared" ref="U31:AB31" si="21">-$C31*$E$25</f>
        <v>0</v>
      </c>
      <c r="V31" s="471">
        <f t="shared" si="21"/>
        <v>0</v>
      </c>
      <c r="W31" s="471">
        <f t="shared" si="21"/>
        <v>0</v>
      </c>
      <c r="X31" s="471">
        <f t="shared" si="21"/>
        <v>0</v>
      </c>
      <c r="Y31" s="471">
        <f t="shared" si="21"/>
        <v>0</v>
      </c>
      <c r="Z31" s="471">
        <f t="shared" si="21"/>
        <v>0</v>
      </c>
      <c r="AA31" s="471">
        <f t="shared" si="21"/>
        <v>0</v>
      </c>
      <c r="AB31" s="471">
        <f t="shared" si="21"/>
        <v>0</v>
      </c>
    </row>
    <row r="32" spans="2:28">
      <c r="B32" s="452"/>
      <c r="C32" s="452"/>
      <c r="D32" s="452"/>
      <c r="E32" s="452"/>
      <c r="F32" s="452"/>
      <c r="G32" s="452"/>
      <c r="H32" s="452"/>
      <c r="Q32" s="452"/>
      <c r="R32" s="452"/>
      <c r="S32" s="452"/>
      <c r="T32" s="452"/>
    </row>
    <row r="33" spans="2:28">
      <c r="B33" s="480" t="s">
        <v>646</v>
      </c>
      <c r="C33" s="452"/>
      <c r="D33" s="452"/>
      <c r="E33" s="452"/>
      <c r="F33" s="452"/>
      <c r="G33" s="452"/>
      <c r="H33" s="452"/>
      <c r="Q33" s="452"/>
      <c r="R33" s="452"/>
      <c r="S33" s="452"/>
      <c r="T33" s="452"/>
    </row>
    <row r="34" spans="2:28">
      <c r="B34" s="452" t="s">
        <v>895</v>
      </c>
      <c r="C34" s="450">
        <v>4166.666666666667</v>
      </c>
      <c r="D34" s="452"/>
      <c r="E34" s="471">
        <f>-$C34*E25</f>
        <v>-48611111.111111112</v>
      </c>
      <c r="F34" s="471">
        <f t="shared" ref="F34:P34" si="22">-$C34*F25</f>
        <v>-48611111.111111112</v>
      </c>
      <c r="G34" s="471">
        <f t="shared" si="22"/>
        <v>-48611111.111111112</v>
      </c>
      <c r="H34" s="471">
        <f t="shared" si="22"/>
        <v>-48611111.111111112</v>
      </c>
      <c r="I34" s="471">
        <f t="shared" si="22"/>
        <v>-48611111.111111112</v>
      </c>
      <c r="J34" s="471">
        <f t="shared" si="22"/>
        <v>-48611111.111111112</v>
      </c>
      <c r="K34" s="471">
        <f t="shared" si="22"/>
        <v>-48611111.111111112</v>
      </c>
      <c r="L34" s="471">
        <f t="shared" si="22"/>
        <v>-48611111.111111112</v>
      </c>
      <c r="M34" s="471">
        <f t="shared" si="22"/>
        <v>-48611111.111111112</v>
      </c>
      <c r="N34" s="471">
        <f t="shared" si="22"/>
        <v>-48611111.111111112</v>
      </c>
      <c r="O34" s="471">
        <f t="shared" si="22"/>
        <v>-48611111.111111112</v>
      </c>
      <c r="P34" s="471">
        <f t="shared" si="22"/>
        <v>-48611111.111111112</v>
      </c>
      <c r="Q34" s="471">
        <f>-$C34*Q25</f>
        <v>-48611111.111111112</v>
      </c>
      <c r="R34" s="471">
        <f t="shared" ref="R34:AB34" si="23">-$C34*R25</f>
        <v>-48611111.111111112</v>
      </c>
      <c r="S34" s="471">
        <f t="shared" si="23"/>
        <v>-48611111.111111112</v>
      </c>
      <c r="T34" s="471">
        <f t="shared" si="23"/>
        <v>-48611111.111111112</v>
      </c>
      <c r="U34" s="471">
        <f t="shared" si="23"/>
        <v>-48611111.111111112</v>
      </c>
      <c r="V34" s="471">
        <f t="shared" si="23"/>
        <v>-48611111.111111112</v>
      </c>
      <c r="W34" s="471">
        <f t="shared" si="23"/>
        <v>-48611111.111111112</v>
      </c>
      <c r="X34" s="471">
        <f t="shared" si="23"/>
        <v>-48611111.111111112</v>
      </c>
      <c r="Y34" s="471">
        <f t="shared" si="23"/>
        <v>-48611111.111111112</v>
      </c>
      <c r="Z34" s="471">
        <f t="shared" si="23"/>
        <v>-48611111.111111112</v>
      </c>
      <c r="AA34" s="471">
        <f t="shared" si="23"/>
        <v>-48611111.111111112</v>
      </c>
      <c r="AB34" s="471">
        <f t="shared" si="23"/>
        <v>-48611111.111111112</v>
      </c>
    </row>
    <row r="35" spans="2:28">
      <c r="B35" s="452" t="s">
        <v>894</v>
      </c>
      <c r="C35" s="450">
        <v>557.14</v>
      </c>
      <c r="D35" s="452"/>
      <c r="E35" s="452"/>
      <c r="F35" s="471">
        <f>-$C35*F25</f>
        <v>-6499966.666666666</v>
      </c>
      <c r="G35" s="471">
        <f t="shared" ref="G35:AB35" si="24">-$C35*G25</f>
        <v>-6499966.666666666</v>
      </c>
      <c r="H35" s="471">
        <f t="shared" si="24"/>
        <v>-6499966.666666666</v>
      </c>
      <c r="I35" s="471">
        <f t="shared" si="24"/>
        <v>-6499966.666666666</v>
      </c>
      <c r="J35" s="471">
        <f t="shared" si="24"/>
        <v>-6499966.666666666</v>
      </c>
      <c r="K35" s="471">
        <f t="shared" si="24"/>
        <v>-6499966.666666666</v>
      </c>
      <c r="L35" s="471">
        <f t="shared" si="24"/>
        <v>-6499966.666666666</v>
      </c>
      <c r="M35" s="471">
        <f t="shared" si="24"/>
        <v>-6499966.666666666</v>
      </c>
      <c r="N35" s="471">
        <f t="shared" si="24"/>
        <v>-6499966.666666666</v>
      </c>
      <c r="O35" s="471">
        <f t="shared" si="24"/>
        <v>-6499966.666666666</v>
      </c>
      <c r="P35" s="471">
        <f t="shared" si="24"/>
        <v>-6499966.666666666</v>
      </c>
      <c r="Q35" s="471">
        <f t="shared" si="24"/>
        <v>-6499966.666666666</v>
      </c>
      <c r="R35" s="471">
        <f t="shared" si="24"/>
        <v>-6499966.666666666</v>
      </c>
      <c r="S35" s="471">
        <f t="shared" si="24"/>
        <v>-6499966.666666666</v>
      </c>
      <c r="T35" s="471">
        <f t="shared" si="24"/>
        <v>-6499966.666666666</v>
      </c>
      <c r="U35" s="471">
        <f t="shared" si="24"/>
        <v>-6499966.666666666</v>
      </c>
      <c r="V35" s="471">
        <f t="shared" si="24"/>
        <v>-6499966.666666666</v>
      </c>
      <c r="W35" s="471">
        <f t="shared" si="24"/>
        <v>-6499966.666666666</v>
      </c>
      <c r="X35" s="471">
        <f t="shared" si="24"/>
        <v>-6499966.666666666</v>
      </c>
      <c r="Y35" s="471">
        <f t="shared" si="24"/>
        <v>-6499966.666666666</v>
      </c>
      <c r="Z35" s="471">
        <f t="shared" si="24"/>
        <v>-6499966.666666666</v>
      </c>
      <c r="AA35" s="471">
        <f t="shared" si="24"/>
        <v>-6499966.666666666</v>
      </c>
      <c r="AB35" s="471">
        <f t="shared" si="24"/>
        <v>-6499966.666666666</v>
      </c>
    </row>
    <row r="36" spans="2:28">
      <c r="B36" s="452" t="s">
        <v>808</v>
      </c>
      <c r="C36" s="450">
        <v>0</v>
      </c>
      <c r="D36" s="452"/>
      <c r="E36" s="452"/>
      <c r="F36" s="471">
        <f>-$C36*F25</f>
        <v>0</v>
      </c>
      <c r="G36" s="471">
        <f t="shared" ref="G36:AB36" si="25">-$C36*G25</f>
        <v>0</v>
      </c>
      <c r="H36" s="471">
        <f t="shared" si="25"/>
        <v>0</v>
      </c>
      <c r="I36" s="471">
        <f t="shared" si="25"/>
        <v>0</v>
      </c>
      <c r="J36" s="471">
        <f t="shared" si="25"/>
        <v>0</v>
      </c>
      <c r="K36" s="471">
        <f t="shared" si="25"/>
        <v>0</v>
      </c>
      <c r="L36" s="471">
        <f t="shared" si="25"/>
        <v>0</v>
      </c>
      <c r="M36" s="471">
        <f t="shared" si="25"/>
        <v>0</v>
      </c>
      <c r="N36" s="471">
        <f t="shared" si="25"/>
        <v>0</v>
      </c>
      <c r="O36" s="471">
        <f t="shared" si="25"/>
        <v>0</v>
      </c>
      <c r="P36" s="471">
        <f t="shared" si="25"/>
        <v>0</v>
      </c>
      <c r="Q36" s="471">
        <f t="shared" si="25"/>
        <v>0</v>
      </c>
      <c r="R36" s="471">
        <f t="shared" si="25"/>
        <v>0</v>
      </c>
      <c r="S36" s="471">
        <f t="shared" si="25"/>
        <v>0</v>
      </c>
      <c r="T36" s="471">
        <f t="shared" si="25"/>
        <v>0</v>
      </c>
      <c r="U36" s="471">
        <f t="shared" si="25"/>
        <v>0</v>
      </c>
      <c r="V36" s="471">
        <f t="shared" si="25"/>
        <v>0</v>
      </c>
      <c r="W36" s="471">
        <f t="shared" si="25"/>
        <v>0</v>
      </c>
      <c r="X36" s="471">
        <f t="shared" si="25"/>
        <v>0</v>
      </c>
      <c r="Y36" s="471">
        <f t="shared" si="25"/>
        <v>0</v>
      </c>
      <c r="Z36" s="471">
        <f t="shared" si="25"/>
        <v>0</v>
      </c>
      <c r="AA36" s="471">
        <f t="shared" si="25"/>
        <v>0</v>
      </c>
      <c r="AB36" s="471">
        <f t="shared" si="25"/>
        <v>0</v>
      </c>
    </row>
    <row r="37" spans="2:28">
      <c r="B37" s="452" t="s">
        <v>807</v>
      </c>
      <c r="C37" s="450">
        <v>0</v>
      </c>
      <c r="D37" s="452"/>
      <c r="E37" s="452"/>
      <c r="F37" s="471">
        <f>-$C37*F25</f>
        <v>0</v>
      </c>
      <c r="G37" s="471">
        <f t="shared" ref="G37:AB37" si="26">-$C37*G25</f>
        <v>0</v>
      </c>
      <c r="H37" s="471">
        <f t="shared" si="26"/>
        <v>0</v>
      </c>
      <c r="I37" s="471">
        <f t="shared" si="26"/>
        <v>0</v>
      </c>
      <c r="J37" s="471">
        <f t="shared" si="26"/>
        <v>0</v>
      </c>
      <c r="K37" s="471">
        <f t="shared" si="26"/>
        <v>0</v>
      </c>
      <c r="L37" s="471">
        <f t="shared" si="26"/>
        <v>0</v>
      </c>
      <c r="M37" s="471">
        <f t="shared" si="26"/>
        <v>0</v>
      </c>
      <c r="N37" s="471">
        <f t="shared" si="26"/>
        <v>0</v>
      </c>
      <c r="O37" s="471">
        <f t="shared" si="26"/>
        <v>0</v>
      </c>
      <c r="P37" s="471">
        <f t="shared" si="26"/>
        <v>0</v>
      </c>
      <c r="Q37" s="471">
        <f t="shared" si="26"/>
        <v>0</v>
      </c>
      <c r="R37" s="471">
        <f t="shared" si="26"/>
        <v>0</v>
      </c>
      <c r="S37" s="471">
        <f t="shared" si="26"/>
        <v>0</v>
      </c>
      <c r="T37" s="471">
        <f t="shared" si="26"/>
        <v>0</v>
      </c>
      <c r="U37" s="471">
        <f t="shared" si="26"/>
        <v>0</v>
      </c>
      <c r="V37" s="471">
        <f t="shared" si="26"/>
        <v>0</v>
      </c>
      <c r="W37" s="471">
        <f t="shared" si="26"/>
        <v>0</v>
      </c>
      <c r="X37" s="471">
        <f t="shared" si="26"/>
        <v>0</v>
      </c>
      <c r="Y37" s="471">
        <f t="shared" si="26"/>
        <v>0</v>
      </c>
      <c r="Z37" s="471">
        <f t="shared" si="26"/>
        <v>0</v>
      </c>
      <c r="AA37" s="471">
        <f t="shared" si="26"/>
        <v>0</v>
      </c>
      <c r="AB37" s="471">
        <f t="shared" si="26"/>
        <v>0</v>
      </c>
    </row>
    <row r="38" spans="2:28">
      <c r="B38" s="452" t="s">
        <v>806</v>
      </c>
      <c r="C38" s="450">
        <v>0</v>
      </c>
      <c r="D38" s="452"/>
      <c r="E38" s="452"/>
      <c r="F38" s="452"/>
      <c r="G38" s="471">
        <f>-$C38*G25</f>
        <v>0</v>
      </c>
      <c r="H38" s="471">
        <f t="shared" ref="H38:AB38" si="27">-$C38*H25</f>
        <v>0</v>
      </c>
      <c r="I38" s="471">
        <f t="shared" si="27"/>
        <v>0</v>
      </c>
      <c r="J38" s="471">
        <f t="shared" si="27"/>
        <v>0</v>
      </c>
      <c r="K38" s="471">
        <f t="shared" si="27"/>
        <v>0</v>
      </c>
      <c r="L38" s="471">
        <f t="shared" si="27"/>
        <v>0</v>
      </c>
      <c r="M38" s="471">
        <f t="shared" si="27"/>
        <v>0</v>
      </c>
      <c r="N38" s="471">
        <f t="shared" si="27"/>
        <v>0</v>
      </c>
      <c r="O38" s="471">
        <f t="shared" si="27"/>
        <v>0</v>
      </c>
      <c r="P38" s="471">
        <f t="shared" si="27"/>
        <v>0</v>
      </c>
      <c r="Q38" s="471">
        <f t="shared" si="27"/>
        <v>0</v>
      </c>
      <c r="R38" s="471">
        <f t="shared" si="27"/>
        <v>0</v>
      </c>
      <c r="S38" s="471">
        <f t="shared" si="27"/>
        <v>0</v>
      </c>
      <c r="T38" s="471">
        <f t="shared" si="27"/>
        <v>0</v>
      </c>
      <c r="U38" s="471">
        <f t="shared" si="27"/>
        <v>0</v>
      </c>
      <c r="V38" s="471">
        <f t="shared" si="27"/>
        <v>0</v>
      </c>
      <c r="W38" s="471">
        <f t="shared" si="27"/>
        <v>0</v>
      </c>
      <c r="X38" s="471">
        <f t="shared" si="27"/>
        <v>0</v>
      </c>
      <c r="Y38" s="471">
        <f t="shared" si="27"/>
        <v>0</v>
      </c>
      <c r="Z38" s="471">
        <f t="shared" si="27"/>
        <v>0</v>
      </c>
      <c r="AA38" s="471">
        <f t="shared" si="27"/>
        <v>0</v>
      </c>
      <c r="AB38" s="471">
        <f t="shared" si="27"/>
        <v>0</v>
      </c>
    </row>
    <row r="39" spans="2:28">
      <c r="B39" s="452" t="s">
        <v>650</v>
      </c>
      <c r="C39" s="450">
        <v>0</v>
      </c>
      <c r="D39" s="452"/>
      <c r="E39" s="452"/>
      <c r="F39" s="452"/>
      <c r="G39" s="452"/>
      <c r="H39" s="471">
        <f>-$C39*H25</f>
        <v>0</v>
      </c>
      <c r="I39" s="471">
        <f t="shared" ref="I39:P39" si="28">-$C39*I25</f>
        <v>0</v>
      </c>
      <c r="J39" s="471">
        <f t="shared" si="28"/>
        <v>0</v>
      </c>
      <c r="K39" s="471">
        <f t="shared" si="28"/>
        <v>0</v>
      </c>
      <c r="L39" s="471">
        <f t="shared" si="28"/>
        <v>0</v>
      </c>
      <c r="M39" s="471">
        <f t="shared" si="28"/>
        <v>0</v>
      </c>
      <c r="N39" s="471">
        <f t="shared" si="28"/>
        <v>0</v>
      </c>
      <c r="O39" s="471">
        <f t="shared" si="28"/>
        <v>0</v>
      </c>
      <c r="P39" s="471">
        <f t="shared" si="28"/>
        <v>0</v>
      </c>
      <c r="Q39" s="471">
        <f>-$C39*Q25</f>
        <v>0</v>
      </c>
      <c r="R39" s="471">
        <f>-$C39*R25</f>
        <v>0</v>
      </c>
      <c r="S39" s="471">
        <f>-$C39*S25</f>
        <v>0</v>
      </c>
      <c r="T39" s="471">
        <f>-$C39*T25</f>
        <v>0</v>
      </c>
      <c r="U39" s="471">
        <f t="shared" ref="U39:AB39" si="29">-$C39*U25</f>
        <v>0</v>
      </c>
      <c r="V39" s="471">
        <f t="shared" si="29"/>
        <v>0</v>
      </c>
      <c r="W39" s="471">
        <f t="shared" si="29"/>
        <v>0</v>
      </c>
      <c r="X39" s="471">
        <f t="shared" si="29"/>
        <v>0</v>
      </c>
      <c r="Y39" s="471">
        <f t="shared" si="29"/>
        <v>0</v>
      </c>
      <c r="Z39" s="471">
        <f t="shared" si="29"/>
        <v>0</v>
      </c>
      <c r="AA39" s="471">
        <f t="shared" si="29"/>
        <v>0</v>
      </c>
      <c r="AB39" s="471">
        <f t="shared" si="29"/>
        <v>0</v>
      </c>
    </row>
    <row r="40" spans="2:28">
      <c r="C40" s="452"/>
      <c r="D40" s="452"/>
      <c r="E40" s="452"/>
      <c r="F40" s="452"/>
      <c r="G40" s="452"/>
      <c r="H40" s="452"/>
      <c r="Q40" s="452"/>
      <c r="R40" s="452"/>
      <c r="S40" s="452"/>
      <c r="T40" s="452"/>
    </row>
    <row r="41" spans="2:28">
      <c r="B41" s="452"/>
      <c r="C41" s="452"/>
      <c r="D41" s="452"/>
      <c r="E41" s="452"/>
      <c r="F41" s="452"/>
      <c r="G41" s="452"/>
      <c r="H41" s="452"/>
      <c r="Q41" s="452"/>
      <c r="R41" s="452"/>
      <c r="S41" s="452"/>
      <c r="T41" s="452"/>
    </row>
    <row r="42" spans="2:28">
      <c r="B42" s="480" t="s">
        <v>651</v>
      </c>
      <c r="C42" s="452"/>
      <c r="D42" s="452"/>
      <c r="E42" s="452"/>
      <c r="F42" s="452"/>
      <c r="G42" s="452"/>
      <c r="H42" s="452"/>
      <c r="Q42" s="452"/>
      <c r="R42" s="452"/>
      <c r="S42" s="452"/>
      <c r="T42" s="452"/>
    </row>
    <row r="43" spans="2:28">
      <c r="B43" s="452" t="s">
        <v>652</v>
      </c>
      <c r="C43" s="450">
        <v>1000000</v>
      </c>
      <c r="D43" s="452"/>
      <c r="E43" s="471">
        <f>-$C43/12</f>
        <v>-83333.333333333328</v>
      </c>
      <c r="F43" s="471">
        <f t="shared" ref="F43:AB43" si="30">-$C43/12</f>
        <v>-83333.333333333328</v>
      </c>
      <c r="G43" s="471">
        <f t="shared" si="30"/>
        <v>-83333.333333333328</v>
      </c>
      <c r="H43" s="471">
        <f t="shared" si="30"/>
        <v>-83333.333333333328</v>
      </c>
      <c r="I43" s="471">
        <f t="shared" si="30"/>
        <v>-83333.333333333328</v>
      </c>
      <c r="J43" s="471">
        <f t="shared" si="30"/>
        <v>-83333.333333333328</v>
      </c>
      <c r="K43" s="471">
        <f t="shared" si="30"/>
        <v>-83333.333333333328</v>
      </c>
      <c r="L43" s="471">
        <f t="shared" si="30"/>
        <v>-83333.333333333328</v>
      </c>
      <c r="M43" s="471">
        <f t="shared" si="30"/>
        <v>-83333.333333333328</v>
      </c>
      <c r="N43" s="471">
        <f t="shared" si="30"/>
        <v>-83333.333333333328</v>
      </c>
      <c r="O43" s="471">
        <f t="shared" si="30"/>
        <v>-83333.333333333328</v>
      </c>
      <c r="P43" s="471">
        <f t="shared" si="30"/>
        <v>-83333.333333333328</v>
      </c>
      <c r="Q43" s="471">
        <f t="shared" si="30"/>
        <v>-83333.333333333328</v>
      </c>
      <c r="R43" s="471">
        <f t="shared" si="30"/>
        <v>-83333.333333333328</v>
      </c>
      <c r="S43" s="471">
        <f t="shared" si="30"/>
        <v>-83333.333333333328</v>
      </c>
      <c r="T43" s="471">
        <f t="shared" si="30"/>
        <v>-83333.333333333328</v>
      </c>
      <c r="U43" s="471">
        <f t="shared" si="30"/>
        <v>-83333.333333333328</v>
      </c>
      <c r="V43" s="471">
        <f t="shared" si="30"/>
        <v>-83333.333333333328</v>
      </c>
      <c r="W43" s="471">
        <f t="shared" si="30"/>
        <v>-83333.333333333328</v>
      </c>
      <c r="X43" s="471">
        <f t="shared" si="30"/>
        <v>-83333.333333333328</v>
      </c>
      <c r="Y43" s="471">
        <f t="shared" si="30"/>
        <v>-83333.333333333328</v>
      </c>
      <c r="Z43" s="471">
        <f t="shared" si="30"/>
        <v>-83333.333333333328</v>
      </c>
      <c r="AA43" s="471">
        <f t="shared" si="30"/>
        <v>-83333.333333333328</v>
      </c>
      <c r="AB43" s="471">
        <f t="shared" si="30"/>
        <v>-83333.333333333328</v>
      </c>
    </row>
    <row r="44" spans="2:28">
      <c r="B44" s="452" t="s">
        <v>810</v>
      </c>
      <c r="C44" s="450">
        <v>500000</v>
      </c>
      <c r="D44" s="452"/>
      <c r="E44" s="471">
        <f>-$C$44/12</f>
        <v>-41666.666666666664</v>
      </c>
      <c r="F44" s="471">
        <f t="shared" ref="F44:AB44" si="31">-$C$44/12</f>
        <v>-41666.666666666664</v>
      </c>
      <c r="G44" s="471">
        <f t="shared" si="31"/>
        <v>-41666.666666666664</v>
      </c>
      <c r="H44" s="471">
        <f t="shared" si="31"/>
        <v>-41666.666666666664</v>
      </c>
      <c r="I44" s="471">
        <f t="shared" si="31"/>
        <v>-41666.666666666664</v>
      </c>
      <c r="J44" s="471">
        <f t="shared" si="31"/>
        <v>-41666.666666666664</v>
      </c>
      <c r="K44" s="471">
        <f t="shared" si="31"/>
        <v>-41666.666666666664</v>
      </c>
      <c r="L44" s="471">
        <f t="shared" si="31"/>
        <v>-41666.666666666664</v>
      </c>
      <c r="M44" s="471">
        <f t="shared" si="31"/>
        <v>-41666.666666666664</v>
      </c>
      <c r="N44" s="471">
        <f t="shared" si="31"/>
        <v>-41666.666666666664</v>
      </c>
      <c r="O44" s="471">
        <f t="shared" si="31"/>
        <v>-41666.666666666664</v>
      </c>
      <c r="P44" s="471">
        <f t="shared" si="31"/>
        <v>-41666.666666666664</v>
      </c>
      <c r="Q44" s="471">
        <f t="shared" si="31"/>
        <v>-41666.666666666664</v>
      </c>
      <c r="R44" s="471">
        <f t="shared" si="31"/>
        <v>-41666.666666666664</v>
      </c>
      <c r="S44" s="471">
        <f t="shared" si="31"/>
        <v>-41666.666666666664</v>
      </c>
      <c r="T44" s="471">
        <f t="shared" si="31"/>
        <v>-41666.666666666664</v>
      </c>
      <c r="U44" s="471">
        <f t="shared" si="31"/>
        <v>-41666.666666666664</v>
      </c>
      <c r="V44" s="471">
        <f t="shared" si="31"/>
        <v>-41666.666666666664</v>
      </c>
      <c r="W44" s="471">
        <f t="shared" si="31"/>
        <v>-41666.666666666664</v>
      </c>
      <c r="X44" s="471">
        <f t="shared" si="31"/>
        <v>-41666.666666666664</v>
      </c>
      <c r="Y44" s="471">
        <f t="shared" si="31"/>
        <v>-41666.666666666664</v>
      </c>
      <c r="Z44" s="471">
        <f t="shared" si="31"/>
        <v>-41666.666666666664</v>
      </c>
      <c r="AA44" s="471">
        <f t="shared" si="31"/>
        <v>-41666.666666666664</v>
      </c>
      <c r="AB44" s="471">
        <f t="shared" si="31"/>
        <v>-41666.666666666664</v>
      </c>
    </row>
    <row r="45" spans="2:28">
      <c r="B45" s="452" t="s">
        <v>809</v>
      </c>
      <c r="C45" s="450">
        <v>75000</v>
      </c>
      <c r="D45" s="452"/>
      <c r="E45" s="471">
        <f t="shared" ref="E45:T47" si="32">-$C45</f>
        <v>-75000</v>
      </c>
      <c r="F45" s="471">
        <f t="shared" si="32"/>
        <v>-75000</v>
      </c>
      <c r="G45" s="471">
        <f t="shared" si="32"/>
        <v>-75000</v>
      </c>
      <c r="H45" s="471">
        <f t="shared" si="32"/>
        <v>-75000</v>
      </c>
      <c r="I45" s="471">
        <f t="shared" si="32"/>
        <v>-75000</v>
      </c>
      <c r="J45" s="471">
        <f t="shared" si="32"/>
        <v>-75000</v>
      </c>
      <c r="K45" s="471">
        <f t="shared" si="32"/>
        <v>-75000</v>
      </c>
      <c r="L45" s="471">
        <f t="shared" si="32"/>
        <v>-75000</v>
      </c>
      <c r="M45" s="471">
        <f t="shared" si="32"/>
        <v>-75000</v>
      </c>
      <c r="N45" s="471">
        <f t="shared" si="32"/>
        <v>-75000</v>
      </c>
      <c r="O45" s="471">
        <f t="shared" si="32"/>
        <v>-75000</v>
      </c>
      <c r="P45" s="471">
        <f t="shared" si="32"/>
        <v>-75000</v>
      </c>
      <c r="Q45" s="471">
        <f t="shared" si="32"/>
        <v>-75000</v>
      </c>
      <c r="R45" s="471">
        <f t="shared" si="32"/>
        <v>-75000</v>
      </c>
      <c r="S45" s="471">
        <f t="shared" si="32"/>
        <v>-75000</v>
      </c>
      <c r="T45" s="471">
        <f t="shared" si="32"/>
        <v>-75000</v>
      </c>
      <c r="U45" s="471">
        <f t="shared" ref="U45:AB47" si="33">-$C45</f>
        <v>-75000</v>
      </c>
      <c r="V45" s="471">
        <f t="shared" si="33"/>
        <v>-75000</v>
      </c>
      <c r="W45" s="471">
        <f t="shared" si="33"/>
        <v>-75000</v>
      </c>
      <c r="X45" s="471">
        <f t="shared" si="33"/>
        <v>-75000</v>
      </c>
      <c r="Y45" s="471">
        <f t="shared" si="33"/>
        <v>-75000</v>
      </c>
      <c r="Z45" s="471">
        <f t="shared" si="33"/>
        <v>-75000</v>
      </c>
      <c r="AA45" s="471">
        <f t="shared" si="33"/>
        <v>-75000</v>
      </c>
      <c r="AB45" s="471">
        <f t="shared" si="33"/>
        <v>-75000</v>
      </c>
    </row>
    <row r="46" spans="2:28">
      <c r="B46" s="452"/>
      <c r="C46" s="450">
        <v>0</v>
      </c>
      <c r="D46" s="452"/>
      <c r="E46" s="471">
        <f t="shared" si="32"/>
        <v>0</v>
      </c>
      <c r="F46" s="471">
        <f t="shared" si="32"/>
        <v>0</v>
      </c>
      <c r="G46" s="471">
        <f t="shared" si="32"/>
        <v>0</v>
      </c>
      <c r="H46" s="471">
        <f t="shared" si="32"/>
        <v>0</v>
      </c>
      <c r="I46" s="471">
        <f t="shared" si="32"/>
        <v>0</v>
      </c>
      <c r="J46" s="471">
        <f t="shared" si="32"/>
        <v>0</v>
      </c>
      <c r="K46" s="471">
        <f t="shared" si="32"/>
        <v>0</v>
      </c>
      <c r="L46" s="471">
        <f t="shared" si="32"/>
        <v>0</v>
      </c>
      <c r="M46" s="471">
        <f t="shared" si="32"/>
        <v>0</v>
      </c>
      <c r="N46" s="471">
        <f t="shared" si="32"/>
        <v>0</v>
      </c>
      <c r="O46" s="471">
        <f t="shared" si="32"/>
        <v>0</v>
      </c>
      <c r="P46" s="471">
        <f t="shared" si="32"/>
        <v>0</v>
      </c>
      <c r="Q46" s="471">
        <f t="shared" si="32"/>
        <v>0</v>
      </c>
      <c r="R46" s="471">
        <f t="shared" si="32"/>
        <v>0</v>
      </c>
      <c r="S46" s="471">
        <f t="shared" si="32"/>
        <v>0</v>
      </c>
      <c r="T46" s="471">
        <f t="shared" si="32"/>
        <v>0</v>
      </c>
      <c r="U46" s="471">
        <f t="shared" si="33"/>
        <v>0</v>
      </c>
      <c r="V46" s="471">
        <f t="shared" si="33"/>
        <v>0</v>
      </c>
      <c r="W46" s="471">
        <f t="shared" si="33"/>
        <v>0</v>
      </c>
      <c r="X46" s="471">
        <f t="shared" si="33"/>
        <v>0</v>
      </c>
      <c r="Y46" s="471">
        <f t="shared" si="33"/>
        <v>0</v>
      </c>
      <c r="Z46" s="471">
        <f t="shared" si="33"/>
        <v>0</v>
      </c>
      <c r="AA46" s="471">
        <f t="shared" si="33"/>
        <v>0</v>
      </c>
      <c r="AB46" s="471">
        <f t="shared" si="33"/>
        <v>0</v>
      </c>
    </row>
    <row r="47" spans="2:28">
      <c r="B47" s="452"/>
      <c r="C47" s="450">
        <v>0</v>
      </c>
      <c r="D47" s="452"/>
      <c r="E47" s="471">
        <f t="shared" si="32"/>
        <v>0</v>
      </c>
      <c r="F47" s="471">
        <f t="shared" si="32"/>
        <v>0</v>
      </c>
      <c r="G47" s="471">
        <f t="shared" si="32"/>
        <v>0</v>
      </c>
      <c r="H47" s="471">
        <f t="shared" si="32"/>
        <v>0</v>
      </c>
      <c r="I47" s="471">
        <f t="shared" si="32"/>
        <v>0</v>
      </c>
      <c r="J47" s="471">
        <f t="shared" si="32"/>
        <v>0</v>
      </c>
      <c r="K47" s="471">
        <f t="shared" si="32"/>
        <v>0</v>
      </c>
      <c r="L47" s="471">
        <f t="shared" si="32"/>
        <v>0</v>
      </c>
      <c r="M47" s="471">
        <f t="shared" si="32"/>
        <v>0</v>
      </c>
      <c r="N47" s="471">
        <f t="shared" si="32"/>
        <v>0</v>
      </c>
      <c r="O47" s="471">
        <f t="shared" si="32"/>
        <v>0</v>
      </c>
      <c r="P47" s="471">
        <f t="shared" si="32"/>
        <v>0</v>
      </c>
      <c r="Q47" s="471">
        <f t="shared" si="32"/>
        <v>0</v>
      </c>
      <c r="R47" s="471">
        <f t="shared" si="32"/>
        <v>0</v>
      </c>
      <c r="S47" s="471">
        <f t="shared" si="32"/>
        <v>0</v>
      </c>
      <c r="T47" s="471">
        <f t="shared" si="32"/>
        <v>0</v>
      </c>
      <c r="U47" s="471">
        <f t="shared" si="33"/>
        <v>0</v>
      </c>
      <c r="V47" s="471">
        <f t="shared" si="33"/>
        <v>0</v>
      </c>
      <c r="W47" s="471">
        <f t="shared" si="33"/>
        <v>0</v>
      </c>
      <c r="X47" s="471">
        <f t="shared" si="33"/>
        <v>0</v>
      </c>
      <c r="Y47" s="471">
        <f t="shared" si="33"/>
        <v>0</v>
      </c>
      <c r="Z47" s="471">
        <f t="shared" si="33"/>
        <v>0</v>
      </c>
      <c r="AA47" s="471">
        <f t="shared" si="33"/>
        <v>0</v>
      </c>
      <c r="AB47" s="471">
        <f t="shared" si="33"/>
        <v>0</v>
      </c>
    </row>
    <row r="48" spans="2:28">
      <c r="B48" s="452"/>
      <c r="C48" s="452"/>
      <c r="D48" s="452"/>
      <c r="E48" s="452"/>
      <c r="F48" s="452"/>
      <c r="G48" s="452"/>
      <c r="H48" s="452"/>
      <c r="Q48" s="452"/>
      <c r="R48" s="452"/>
      <c r="S48" s="452"/>
      <c r="T48" s="452"/>
    </row>
    <row r="49" spans="1:28">
      <c r="B49" s="480" t="s">
        <v>654</v>
      </c>
      <c r="C49" s="481">
        <v>0</v>
      </c>
      <c r="D49" s="452"/>
      <c r="E49" s="471">
        <f>-$C$49</f>
        <v>0</v>
      </c>
      <c r="F49" s="471">
        <f t="shared" ref="F49:AB49" si="34">-$C$49</f>
        <v>0</v>
      </c>
      <c r="G49" s="471">
        <f t="shared" si="34"/>
        <v>0</v>
      </c>
      <c r="H49" s="471">
        <f t="shared" si="34"/>
        <v>0</v>
      </c>
      <c r="I49" s="471">
        <f t="shared" si="34"/>
        <v>0</v>
      </c>
      <c r="J49" s="471">
        <f t="shared" si="34"/>
        <v>0</v>
      </c>
      <c r="K49" s="471">
        <f t="shared" si="34"/>
        <v>0</v>
      </c>
      <c r="L49" s="471">
        <f t="shared" si="34"/>
        <v>0</v>
      </c>
      <c r="M49" s="471">
        <f t="shared" si="34"/>
        <v>0</v>
      </c>
      <c r="N49" s="471">
        <f t="shared" si="34"/>
        <v>0</v>
      </c>
      <c r="O49" s="471">
        <f t="shared" si="34"/>
        <v>0</v>
      </c>
      <c r="P49" s="471">
        <f t="shared" si="34"/>
        <v>0</v>
      </c>
      <c r="Q49" s="471">
        <f>-$C$49</f>
        <v>0</v>
      </c>
      <c r="R49" s="471">
        <f t="shared" si="34"/>
        <v>0</v>
      </c>
      <c r="S49" s="471">
        <f t="shared" si="34"/>
        <v>0</v>
      </c>
      <c r="T49" s="471">
        <f t="shared" si="34"/>
        <v>0</v>
      </c>
      <c r="U49" s="471">
        <f t="shared" si="34"/>
        <v>0</v>
      </c>
      <c r="V49" s="471">
        <f t="shared" si="34"/>
        <v>0</v>
      </c>
      <c r="W49" s="471">
        <f t="shared" si="34"/>
        <v>0</v>
      </c>
      <c r="X49" s="471">
        <f t="shared" si="34"/>
        <v>0</v>
      </c>
      <c r="Y49" s="471">
        <f t="shared" si="34"/>
        <v>0</v>
      </c>
      <c r="Z49" s="471">
        <f t="shared" si="34"/>
        <v>0</v>
      </c>
      <c r="AA49" s="471">
        <f t="shared" si="34"/>
        <v>0</v>
      </c>
      <c r="AB49" s="471">
        <f t="shared" si="34"/>
        <v>0</v>
      </c>
    </row>
    <row r="50" spans="1:28">
      <c r="B50" s="452" t="s">
        <v>898</v>
      </c>
      <c r="C50" s="450">
        <f>230000*1.45*3</f>
        <v>1000500</v>
      </c>
      <c r="D50" s="452"/>
      <c r="E50" s="452"/>
      <c r="F50" s="471">
        <f>-$C$50</f>
        <v>-1000500</v>
      </c>
      <c r="G50" s="471">
        <f t="shared" ref="G50:AB50" si="35">-$C$50</f>
        <v>-1000500</v>
      </c>
      <c r="H50" s="471">
        <f t="shared" si="35"/>
        <v>-1000500</v>
      </c>
      <c r="I50" s="471">
        <f t="shared" si="35"/>
        <v>-1000500</v>
      </c>
      <c r="J50" s="471">
        <f t="shared" si="35"/>
        <v>-1000500</v>
      </c>
      <c r="K50" s="471">
        <f t="shared" si="35"/>
        <v>-1000500</v>
      </c>
      <c r="L50" s="471">
        <f t="shared" si="35"/>
        <v>-1000500</v>
      </c>
      <c r="M50" s="471">
        <f t="shared" si="35"/>
        <v>-1000500</v>
      </c>
      <c r="N50" s="471">
        <f t="shared" si="35"/>
        <v>-1000500</v>
      </c>
      <c r="O50" s="471">
        <f t="shared" si="35"/>
        <v>-1000500</v>
      </c>
      <c r="P50" s="471">
        <f t="shared" si="35"/>
        <v>-1000500</v>
      </c>
      <c r="Q50" s="471">
        <f t="shared" si="35"/>
        <v>-1000500</v>
      </c>
      <c r="R50" s="471">
        <f t="shared" si="35"/>
        <v>-1000500</v>
      </c>
      <c r="S50" s="471">
        <f t="shared" si="35"/>
        <v>-1000500</v>
      </c>
      <c r="T50" s="471">
        <f t="shared" si="35"/>
        <v>-1000500</v>
      </c>
      <c r="U50" s="471">
        <f t="shared" si="35"/>
        <v>-1000500</v>
      </c>
      <c r="V50" s="471">
        <f t="shared" si="35"/>
        <v>-1000500</v>
      </c>
      <c r="W50" s="471">
        <f t="shared" si="35"/>
        <v>-1000500</v>
      </c>
      <c r="X50" s="471">
        <f t="shared" si="35"/>
        <v>-1000500</v>
      </c>
      <c r="Y50" s="471">
        <f t="shared" si="35"/>
        <v>-1000500</v>
      </c>
      <c r="Z50" s="471">
        <f t="shared" si="35"/>
        <v>-1000500</v>
      </c>
      <c r="AA50" s="471">
        <f t="shared" si="35"/>
        <v>-1000500</v>
      </c>
      <c r="AB50" s="471">
        <f t="shared" si="35"/>
        <v>-1000500</v>
      </c>
    </row>
    <row r="51" spans="1:28">
      <c r="B51" s="452" t="s">
        <v>897</v>
      </c>
      <c r="C51" s="450">
        <f>70000*1.45*5</f>
        <v>507500</v>
      </c>
      <c r="D51" s="452"/>
      <c r="E51" s="452"/>
      <c r="F51" s="471">
        <f>-$C$51</f>
        <v>-507500</v>
      </c>
      <c r="G51" s="471">
        <f t="shared" ref="G51:AB51" si="36">-$C$51</f>
        <v>-507500</v>
      </c>
      <c r="H51" s="471">
        <f t="shared" si="36"/>
        <v>-507500</v>
      </c>
      <c r="I51" s="471">
        <f t="shared" si="36"/>
        <v>-507500</v>
      </c>
      <c r="J51" s="471">
        <f t="shared" si="36"/>
        <v>-507500</v>
      </c>
      <c r="K51" s="471">
        <f t="shared" si="36"/>
        <v>-507500</v>
      </c>
      <c r="L51" s="471">
        <f t="shared" si="36"/>
        <v>-507500</v>
      </c>
      <c r="M51" s="471">
        <f t="shared" si="36"/>
        <v>-507500</v>
      </c>
      <c r="N51" s="471">
        <f t="shared" si="36"/>
        <v>-507500</v>
      </c>
      <c r="O51" s="471">
        <f t="shared" si="36"/>
        <v>-507500</v>
      </c>
      <c r="P51" s="471">
        <f t="shared" si="36"/>
        <v>-507500</v>
      </c>
      <c r="Q51" s="471">
        <f t="shared" si="36"/>
        <v>-507500</v>
      </c>
      <c r="R51" s="471">
        <f t="shared" si="36"/>
        <v>-507500</v>
      </c>
      <c r="S51" s="471">
        <f t="shared" si="36"/>
        <v>-507500</v>
      </c>
      <c r="T51" s="471">
        <f t="shared" si="36"/>
        <v>-507500</v>
      </c>
      <c r="U51" s="471">
        <f t="shared" si="36"/>
        <v>-507500</v>
      </c>
      <c r="V51" s="471">
        <f t="shared" si="36"/>
        <v>-507500</v>
      </c>
      <c r="W51" s="471">
        <f t="shared" si="36"/>
        <v>-507500</v>
      </c>
      <c r="X51" s="471">
        <f t="shared" si="36"/>
        <v>-507500</v>
      </c>
      <c r="Y51" s="471">
        <f t="shared" si="36"/>
        <v>-507500</v>
      </c>
      <c r="Z51" s="471">
        <f t="shared" si="36"/>
        <v>-507500</v>
      </c>
      <c r="AA51" s="471">
        <f t="shared" si="36"/>
        <v>-507500</v>
      </c>
      <c r="AB51" s="471">
        <f t="shared" si="36"/>
        <v>-507500</v>
      </c>
    </row>
    <row r="52" spans="1:28">
      <c r="B52" s="452"/>
      <c r="C52" s="450"/>
      <c r="D52" s="452"/>
      <c r="E52" s="452"/>
      <c r="F52" s="471"/>
      <c r="G52" s="471"/>
      <c r="H52" s="471"/>
      <c r="I52" s="471"/>
      <c r="J52" s="471"/>
      <c r="K52" s="471"/>
      <c r="L52" s="471"/>
      <c r="M52" s="471"/>
      <c r="N52" s="471"/>
      <c r="O52" s="471"/>
      <c r="P52" s="471"/>
      <c r="Q52" s="471"/>
      <c r="R52" s="471"/>
      <c r="S52" s="471"/>
      <c r="T52" s="471"/>
      <c r="U52" s="471"/>
      <c r="V52" s="471"/>
      <c r="W52" s="471"/>
      <c r="X52" s="471"/>
      <c r="Y52" s="471"/>
      <c r="Z52" s="471"/>
      <c r="AA52" s="471"/>
      <c r="AB52" s="471"/>
    </row>
    <row r="53" spans="1:28">
      <c r="B53" s="452" t="s">
        <v>176</v>
      </c>
      <c r="C53" s="452"/>
      <c r="D53" s="452"/>
      <c r="E53" s="482">
        <f>SUM(E23,E28:E31,E34:E40,E43:E47,E49:E49)</f>
        <v>-19051601.111111112</v>
      </c>
      <c r="F53" s="483">
        <f>SUM(F28:F51)+F23</f>
        <v>42380455.555555552</v>
      </c>
      <c r="G53" s="483">
        <f t="shared" ref="G53:AB53" si="37">SUM(G28:G51)+G23</f>
        <v>42380455.555555552</v>
      </c>
      <c r="H53" s="483">
        <f t="shared" si="37"/>
        <v>42380455.555555552</v>
      </c>
      <c r="I53" s="483">
        <f t="shared" si="37"/>
        <v>42380455.555555552</v>
      </c>
      <c r="J53" s="483">
        <f t="shared" si="37"/>
        <v>42380455.555555552</v>
      </c>
      <c r="K53" s="483">
        <f t="shared" si="37"/>
        <v>42380455.555555552</v>
      </c>
      <c r="L53" s="483">
        <f t="shared" si="37"/>
        <v>42380455.555555552</v>
      </c>
      <c r="M53" s="483">
        <f t="shared" si="37"/>
        <v>42380455.555555552</v>
      </c>
      <c r="N53" s="483">
        <f t="shared" si="37"/>
        <v>42380455.555555552</v>
      </c>
      <c r="O53" s="483">
        <f t="shared" si="37"/>
        <v>42380455.555555552</v>
      </c>
      <c r="P53" s="483">
        <f t="shared" si="37"/>
        <v>42380455.555555552</v>
      </c>
      <c r="Q53" s="483">
        <f t="shared" si="37"/>
        <v>39064717.222222224</v>
      </c>
      <c r="R53" s="483">
        <f t="shared" si="37"/>
        <v>39064717.222222224</v>
      </c>
      <c r="S53" s="483">
        <f t="shared" si="37"/>
        <v>39064717.222222224</v>
      </c>
      <c r="T53" s="483">
        <f t="shared" si="37"/>
        <v>39064717.222222224</v>
      </c>
      <c r="U53" s="483">
        <f t="shared" si="37"/>
        <v>39064717.222222224</v>
      </c>
      <c r="V53" s="483">
        <f t="shared" si="37"/>
        <v>39064717.222222224</v>
      </c>
      <c r="W53" s="483">
        <f t="shared" si="37"/>
        <v>39064717.222222224</v>
      </c>
      <c r="X53" s="483">
        <f t="shared" si="37"/>
        <v>39064717.222222224</v>
      </c>
      <c r="Y53" s="483">
        <f t="shared" si="37"/>
        <v>39064717.222222224</v>
      </c>
      <c r="Z53" s="483">
        <f t="shared" si="37"/>
        <v>39064717.222222224</v>
      </c>
      <c r="AA53" s="483">
        <f t="shared" si="37"/>
        <v>39064717.222222224</v>
      </c>
      <c r="AB53" s="483">
        <f t="shared" si="37"/>
        <v>39064717.222222224</v>
      </c>
    </row>
    <row r="54" spans="1:28">
      <c r="B54" s="484" t="s">
        <v>657</v>
      </c>
      <c r="C54" s="485"/>
      <c r="D54" s="486"/>
      <c r="E54" s="627">
        <f>E53</f>
        <v>-19051601.111111112</v>
      </c>
      <c r="F54" s="628">
        <f>E54+F53</f>
        <v>23328854.44444444</v>
      </c>
      <c r="G54" s="628">
        <f t="shared" ref="G54:O54" si="38">F54+G53</f>
        <v>65709309.999999993</v>
      </c>
      <c r="H54" s="628">
        <f t="shared" si="38"/>
        <v>108089765.55555555</v>
      </c>
      <c r="I54" s="628">
        <f t="shared" si="38"/>
        <v>150470221.1111111</v>
      </c>
      <c r="J54" s="628">
        <f t="shared" si="38"/>
        <v>192850676.66666666</v>
      </c>
      <c r="K54" s="628">
        <f t="shared" si="38"/>
        <v>235231132.22222221</v>
      </c>
      <c r="L54" s="628">
        <f t="shared" si="38"/>
        <v>277611587.77777779</v>
      </c>
      <c r="M54" s="628">
        <f t="shared" si="38"/>
        <v>319992043.33333337</v>
      </c>
      <c r="N54" s="628">
        <f t="shared" si="38"/>
        <v>362372498.88888896</v>
      </c>
      <c r="O54" s="628">
        <f t="shared" si="38"/>
        <v>404752954.44444454</v>
      </c>
      <c r="P54" s="628">
        <f>O54+P53</f>
        <v>447133410.00000012</v>
      </c>
      <c r="Q54" s="627">
        <f>P54+Q53</f>
        <v>486198127.22222233</v>
      </c>
      <c r="R54" s="628">
        <f>Q54+R53</f>
        <v>525262844.44444454</v>
      </c>
      <c r="S54" s="628">
        <f t="shared" ref="S54:AB54" si="39">R54+S53</f>
        <v>564327561.66666675</v>
      </c>
      <c r="T54" s="628">
        <f t="shared" si="39"/>
        <v>603392278.88888896</v>
      </c>
      <c r="U54" s="628">
        <f t="shared" si="39"/>
        <v>642456996.11111116</v>
      </c>
      <c r="V54" s="628">
        <f t="shared" si="39"/>
        <v>681521713.33333337</v>
      </c>
      <c r="W54" s="628">
        <f t="shared" si="39"/>
        <v>720586430.55555558</v>
      </c>
      <c r="X54" s="628">
        <f t="shared" si="39"/>
        <v>759651147.77777779</v>
      </c>
      <c r="Y54" s="628">
        <f t="shared" si="39"/>
        <v>798715865</v>
      </c>
      <c r="Z54" s="628">
        <f t="shared" si="39"/>
        <v>837780582.22222221</v>
      </c>
      <c r="AA54" s="628">
        <f t="shared" si="39"/>
        <v>876845299.44444442</v>
      </c>
      <c r="AB54" s="628">
        <f t="shared" si="39"/>
        <v>915910016.66666663</v>
      </c>
    </row>
    <row r="58" spans="1:28">
      <c r="A58" s="384" t="s">
        <v>658</v>
      </c>
      <c r="E58" s="469"/>
      <c r="F58" s="490"/>
    </row>
    <row r="59" spans="1:28">
      <c r="E59" s="469"/>
      <c r="F59" s="490"/>
    </row>
    <row r="60" spans="1:28" ht="14.25">
      <c r="B60" s="793"/>
      <c r="E60" s="626" t="s">
        <v>659</v>
      </c>
      <c r="F60" s="492">
        <f>MIN(E54:AB54)</f>
        <v>-19051601.111111112</v>
      </c>
      <c r="G60" s="384" t="s">
        <v>660</v>
      </c>
    </row>
    <row r="61" spans="1:28">
      <c r="B61" s="793"/>
      <c r="E61" s="469"/>
      <c r="F61" s="490"/>
    </row>
    <row r="62" spans="1:28" ht="15" customHeight="1">
      <c r="B62" s="793"/>
      <c r="F62" s="493"/>
      <c r="G62" s="384" t="s">
        <v>661</v>
      </c>
    </row>
    <row r="63" spans="1:28" ht="15" customHeight="1">
      <c r="G63" s="384" t="s">
        <v>662</v>
      </c>
    </row>
    <row r="64" spans="1:28" ht="15" customHeight="1">
      <c r="G64" s="384" t="s">
        <v>663</v>
      </c>
    </row>
    <row r="67" spans="2:11" ht="15" customHeight="1">
      <c r="B67" s="384" t="s">
        <v>664</v>
      </c>
      <c r="F67" s="1728" t="s">
        <v>665</v>
      </c>
      <c r="G67" s="1728"/>
      <c r="H67" s="1728"/>
      <c r="I67" s="1728"/>
      <c r="J67" s="1728"/>
    </row>
    <row r="68" spans="2:11" ht="15" customHeight="1" thickBot="1">
      <c r="B68" s="494" t="s">
        <v>666</v>
      </c>
      <c r="C68" s="494"/>
      <c r="D68" s="494"/>
      <c r="E68" s="495"/>
      <c r="F68" s="449" t="s">
        <v>667</v>
      </c>
      <c r="G68" s="494"/>
      <c r="H68" s="494"/>
      <c r="I68" s="494"/>
      <c r="J68" s="494"/>
    </row>
    <row r="69" spans="2:11" ht="15" customHeight="1" thickTop="1" thickBot="1">
      <c r="B69" s="494" t="s">
        <v>668</v>
      </c>
      <c r="C69" s="494"/>
      <c r="D69" s="496">
        <v>120000</v>
      </c>
      <c r="F69" s="494" t="s">
        <v>427</v>
      </c>
      <c r="G69" s="494" t="s">
        <v>177</v>
      </c>
      <c r="H69" s="494" t="s">
        <v>669</v>
      </c>
      <c r="I69" s="494" t="s">
        <v>670</v>
      </c>
      <c r="J69" s="494" t="s">
        <v>671</v>
      </c>
    </row>
    <row r="70" spans="2:11" ht="15" customHeight="1" thickTop="1" thickBot="1">
      <c r="B70" s="494" t="s">
        <v>672</v>
      </c>
      <c r="C70" s="494"/>
      <c r="D70" s="496">
        <v>100000</v>
      </c>
      <c r="F70" s="494">
        <v>0</v>
      </c>
      <c r="G70" s="496">
        <v>0</v>
      </c>
      <c r="H70" s="497">
        <v>0</v>
      </c>
      <c r="I70" s="498">
        <v>0</v>
      </c>
      <c r="J70" s="499">
        <f>F60</f>
        <v>-19051601.111111112</v>
      </c>
      <c r="K70" s="419"/>
    </row>
    <row r="71" spans="2:11" ht="15" customHeight="1" thickTop="1" thickBot="1">
      <c r="B71" s="494" t="s">
        <v>674</v>
      </c>
      <c r="C71" s="494"/>
      <c r="D71" s="496">
        <v>80000</v>
      </c>
      <c r="F71" s="494">
        <v>1</v>
      </c>
      <c r="G71" s="384">
        <v>140000</v>
      </c>
      <c r="H71" s="497">
        <v>0</v>
      </c>
      <c r="I71" s="498">
        <f>J70</f>
        <v>-19051601.111111112</v>
      </c>
      <c r="J71" s="500">
        <f>I71*H72</f>
        <v>-3810320.2222222215</v>
      </c>
    </row>
    <row r="72" spans="2:11" ht="15" customHeight="1" thickTop="1" thickBot="1">
      <c r="B72" s="494" t="s">
        <v>676</v>
      </c>
      <c r="C72" s="494"/>
      <c r="D72" s="496">
        <v>630000</v>
      </c>
      <c r="F72" s="494">
        <v>2</v>
      </c>
      <c r="G72" s="384">
        <v>168000</v>
      </c>
      <c r="H72" s="497">
        <f>G72/G71-1</f>
        <v>0.19999999999999996</v>
      </c>
      <c r="I72" s="498">
        <f>I71+J71</f>
        <v>-22861921.333333332</v>
      </c>
      <c r="J72" s="500">
        <f>I72*H73</f>
        <v>6858576.4000000004</v>
      </c>
    </row>
    <row r="73" spans="2:11" ht="15" customHeight="1" thickTop="1" thickBot="1">
      <c r="B73" s="501"/>
      <c r="C73" s="501" t="s">
        <v>677</v>
      </c>
      <c r="D73" s="496">
        <f>(D69-D70)*(D72/D71)</f>
        <v>157500</v>
      </c>
      <c r="F73" s="494">
        <v>3</v>
      </c>
      <c r="G73" s="384">
        <v>117600</v>
      </c>
      <c r="H73" s="497">
        <f>G73/G72-1</f>
        <v>-0.30000000000000004</v>
      </c>
      <c r="I73" s="498">
        <f>I72+J72</f>
        <v>-16003344.933333332</v>
      </c>
      <c r="J73" s="500">
        <f>I73*H74</f>
        <v>4801003.4800000004</v>
      </c>
    </row>
    <row r="74" spans="2:11" ht="15" customHeight="1" thickTop="1">
      <c r="F74" s="494">
        <v>4</v>
      </c>
      <c r="G74" s="384">
        <v>82320</v>
      </c>
      <c r="H74" s="497">
        <f>G74/G73-1</f>
        <v>-0.30000000000000004</v>
      </c>
      <c r="I74" s="498">
        <f>I73+J73</f>
        <v>-11202341.453333331</v>
      </c>
      <c r="J74" s="500">
        <f>I74*H75</f>
        <v>3360702.4359999998</v>
      </c>
    </row>
    <row r="75" spans="2:11" ht="15" customHeight="1">
      <c r="F75" s="494">
        <v>5</v>
      </c>
      <c r="G75" s="384">
        <v>57624</v>
      </c>
      <c r="H75" s="497">
        <f>G75/G74-1</f>
        <v>-0.30000000000000004</v>
      </c>
      <c r="I75" s="498">
        <f>I74+J74</f>
        <v>-7841639.0173333315</v>
      </c>
      <c r="J75" s="500">
        <f>I75*H76</f>
        <v>0</v>
      </c>
    </row>
    <row r="76" spans="2:11" ht="15" customHeight="1">
      <c r="G76" s="419" t="s">
        <v>678</v>
      </c>
    </row>
    <row r="81" spans="2:13" ht="15" customHeight="1" thickBot="1"/>
    <row r="82" spans="2:13" ht="15" customHeight="1" thickBot="1">
      <c r="B82" s="1729" t="s">
        <v>679</v>
      </c>
      <c r="C82" s="1730"/>
      <c r="D82" s="1730"/>
      <c r="E82" s="1730"/>
      <c r="F82" s="1731"/>
    </row>
    <row r="83" spans="2:13" ht="15" customHeight="1">
      <c r="B83" s="502" t="s">
        <v>680</v>
      </c>
      <c r="C83" s="503" t="s">
        <v>681</v>
      </c>
      <c r="D83" s="503" t="s">
        <v>682</v>
      </c>
      <c r="E83" s="503" t="s">
        <v>683</v>
      </c>
      <c r="F83" s="504" t="s">
        <v>684</v>
      </c>
    </row>
    <row r="84" spans="2:13" ht="15" customHeight="1">
      <c r="B84" s="505" t="s">
        <v>685</v>
      </c>
      <c r="C84" s="506">
        <v>1</v>
      </c>
      <c r="D84" s="507">
        <v>330000</v>
      </c>
      <c r="E84" s="508">
        <v>0.4</v>
      </c>
      <c r="F84" s="509">
        <f>D84*(1+E84)*13*C84</f>
        <v>6005999.9999999991</v>
      </c>
    </row>
    <row r="85" spans="2:13" ht="15" customHeight="1">
      <c r="B85" s="505" t="s">
        <v>686</v>
      </c>
      <c r="C85" s="506">
        <v>4</v>
      </c>
      <c r="D85" s="507">
        <v>170000</v>
      </c>
      <c r="E85" s="510">
        <v>0.4</v>
      </c>
      <c r="F85" s="509">
        <f>D85*(1+E85)*13*C85</f>
        <v>12375999.999999998</v>
      </c>
    </row>
    <row r="86" spans="2:13" ht="15" customHeight="1" thickBot="1">
      <c r="B86" s="511"/>
      <c r="C86" s="512"/>
      <c r="D86" s="513"/>
      <c r="E86" s="512"/>
      <c r="F86" s="514">
        <f>D86*(1+E86)*13*C86</f>
        <v>0</v>
      </c>
    </row>
    <row r="87" spans="2:13" ht="15" customHeight="1" thickBot="1">
      <c r="C87" s="515"/>
      <c r="D87" s="515"/>
      <c r="E87" s="516" t="s">
        <v>176</v>
      </c>
      <c r="F87" s="517">
        <f>SUM(F84:F86)</f>
        <v>18381999.999999996</v>
      </c>
    </row>
    <row r="88" spans="2:13" ht="15" customHeight="1" thickBot="1"/>
    <row r="89" spans="2:13" ht="15" customHeight="1" thickBot="1">
      <c r="B89" s="1732" t="s">
        <v>576</v>
      </c>
      <c r="C89" s="1733"/>
      <c r="D89" s="1733"/>
      <c r="E89" s="1733"/>
      <c r="F89" s="1733"/>
      <c r="G89" s="1733"/>
      <c r="H89" s="1733"/>
      <c r="I89" s="1733"/>
      <c r="J89" s="1733"/>
      <c r="K89" s="1734"/>
    </row>
    <row r="90" spans="2:13" ht="15" customHeight="1">
      <c r="B90" s="518" t="s">
        <v>577</v>
      </c>
      <c r="C90" s="519" t="s">
        <v>578</v>
      </c>
      <c r="D90" s="520" t="s">
        <v>579</v>
      </c>
      <c r="E90" s="520" t="s">
        <v>102</v>
      </c>
      <c r="F90" s="520" t="s">
        <v>580</v>
      </c>
      <c r="G90" s="520" t="s">
        <v>581</v>
      </c>
      <c r="H90" s="520" t="s">
        <v>582</v>
      </c>
      <c r="I90" s="521" t="s">
        <v>583</v>
      </c>
      <c r="J90" s="522" t="s">
        <v>584</v>
      </c>
      <c r="K90" s="518" t="s">
        <v>585</v>
      </c>
      <c r="M90" s="518" t="s">
        <v>586</v>
      </c>
    </row>
    <row r="91" spans="2:13" ht="15" customHeight="1">
      <c r="B91" s="523" t="s">
        <v>587</v>
      </c>
      <c r="C91" s="524">
        <v>580</v>
      </c>
      <c r="D91" s="506" t="s">
        <v>519</v>
      </c>
      <c r="E91" s="525"/>
      <c r="F91" s="525">
        <v>0.2</v>
      </c>
      <c r="G91" s="526">
        <f>1-F91</f>
        <v>0.8</v>
      </c>
      <c r="H91" s="527">
        <f>C91/G91</f>
        <v>725</v>
      </c>
      <c r="I91" s="506">
        <v>5</v>
      </c>
      <c r="J91" s="528">
        <f>I91*H91*(1+E91)</f>
        <v>3625</v>
      </c>
      <c r="K91" s="1735">
        <f>SUM(J91:J95)</f>
        <v>4354.5</v>
      </c>
      <c r="L91" s="1717" t="s">
        <v>588</v>
      </c>
      <c r="M91" s="1718">
        <f>SUM(K91,L95)</f>
        <v>4554.5</v>
      </c>
    </row>
    <row r="92" spans="2:13" ht="15" customHeight="1">
      <c r="B92" s="523" t="s">
        <v>589</v>
      </c>
      <c r="C92" s="524">
        <v>100</v>
      </c>
      <c r="D92" s="506" t="s">
        <v>519</v>
      </c>
      <c r="E92" s="525">
        <v>0.1</v>
      </c>
      <c r="F92" s="525"/>
      <c r="G92" s="526">
        <f>1-F92</f>
        <v>1</v>
      </c>
      <c r="H92" s="527">
        <f>C92/G92</f>
        <v>100</v>
      </c>
      <c r="I92" s="526">
        <v>1</v>
      </c>
      <c r="J92" s="528">
        <f>I92*C92*(1+E92)</f>
        <v>110.00000000000001</v>
      </c>
      <c r="K92" s="1736"/>
      <c r="L92" s="1717"/>
      <c r="M92" s="1718"/>
    </row>
    <row r="93" spans="2:13" ht="15" customHeight="1">
      <c r="B93" s="523" t="s">
        <v>590</v>
      </c>
      <c r="C93" s="524">
        <v>150</v>
      </c>
      <c r="D93" s="506" t="s">
        <v>591</v>
      </c>
      <c r="E93" s="525"/>
      <c r="F93" s="525"/>
      <c r="G93" s="526">
        <f>1-F93</f>
        <v>1</v>
      </c>
      <c r="H93" s="527">
        <f>C93/G93</f>
        <v>150</v>
      </c>
      <c r="I93" s="506">
        <v>0.35</v>
      </c>
      <c r="J93" s="528">
        <f>I93*C93*(1+E93)</f>
        <v>52.5</v>
      </c>
      <c r="K93" s="1736"/>
      <c r="L93" s="1717"/>
      <c r="M93" s="1718"/>
    </row>
    <row r="94" spans="2:13" ht="15" customHeight="1">
      <c r="B94" s="523" t="s">
        <v>592</v>
      </c>
      <c r="C94" s="524">
        <v>63</v>
      </c>
      <c r="D94" s="506" t="s">
        <v>591</v>
      </c>
      <c r="E94" s="525"/>
      <c r="F94" s="525"/>
      <c r="G94" s="526">
        <f>1-F94</f>
        <v>1</v>
      </c>
      <c r="H94" s="527">
        <f>C94/G94</f>
        <v>63</v>
      </c>
      <c r="I94" s="506">
        <v>8</v>
      </c>
      <c r="J94" s="528">
        <f>I94*C94*(1+E94)</f>
        <v>504</v>
      </c>
      <c r="K94" s="1736"/>
      <c r="L94" s="1717"/>
      <c r="M94" s="1718"/>
    </row>
    <row r="95" spans="2:13" ht="15" customHeight="1" thickBot="1">
      <c r="B95" s="529" t="s">
        <v>593</v>
      </c>
      <c r="C95" s="530">
        <v>63</v>
      </c>
      <c r="D95" s="512" t="s">
        <v>594</v>
      </c>
      <c r="E95" s="531"/>
      <c r="F95" s="531"/>
      <c r="G95" s="526">
        <f>1-F95</f>
        <v>1</v>
      </c>
      <c r="H95" s="527">
        <f>C95/G95</f>
        <v>63</v>
      </c>
      <c r="I95" s="512">
        <v>1</v>
      </c>
      <c r="J95" s="528">
        <f>I95*C95*(1+E95)</f>
        <v>63</v>
      </c>
      <c r="K95" s="1737"/>
      <c r="L95" s="532">
        <v>200</v>
      </c>
      <c r="M95" s="1718"/>
    </row>
    <row r="96" spans="2:13" ht="15" customHeight="1">
      <c r="C96" s="419" t="s">
        <v>595</v>
      </c>
      <c r="E96" s="1719" t="s">
        <v>596</v>
      </c>
      <c r="F96" s="1720"/>
      <c r="I96" s="419" t="s">
        <v>595</v>
      </c>
      <c r="L96" s="419" t="s">
        <v>597</v>
      </c>
    </row>
  </sheetData>
  <mergeCells count="12">
    <mergeCell ref="E96:F96"/>
    <mergeCell ref="B2:C4"/>
    <mergeCell ref="E5:P5"/>
    <mergeCell ref="Q5:AB5"/>
    <mergeCell ref="E20:P20"/>
    <mergeCell ref="Q20:AB20"/>
    <mergeCell ref="F67:J67"/>
    <mergeCell ref="B82:F82"/>
    <mergeCell ref="B89:K89"/>
    <mergeCell ref="K91:K95"/>
    <mergeCell ref="L91:L94"/>
    <mergeCell ref="M91:M95"/>
  </mergeCells>
  <conditionalFormatting sqref="B82">
    <cfRule type="containsText" dxfId="21" priority="1" operator="containsText" text="999">
      <formula>NOT(ISERROR(SEARCH(("999"),(B82))))</formula>
    </cfRule>
  </conditionalFormatting>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885E8-AA19-4036-BB3E-E0A379F4AF15}">
  <dimension ref="A2:Y202"/>
  <sheetViews>
    <sheetView workbookViewId="0">
      <selection activeCell="E78" sqref="E78"/>
    </sheetView>
  </sheetViews>
  <sheetFormatPr defaultRowHeight="12.75"/>
  <cols>
    <col min="1" max="1" width="13.140625" customWidth="1"/>
    <col min="3" max="3" width="35.42578125" bestFit="1" customWidth="1"/>
    <col min="4" max="4" width="37.28515625" bestFit="1" customWidth="1"/>
    <col min="5" max="5" width="19.5703125" customWidth="1"/>
    <col min="6" max="6" width="23.140625" customWidth="1"/>
    <col min="7" max="7" width="30.140625"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c r="N13" s="597" t="s">
        <v>506</v>
      </c>
      <c r="O13" s="351"/>
    </row>
    <row r="14" spans="1:15">
      <c r="M14" s="596"/>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13:21">
      <c r="M34" s="351"/>
    </row>
    <row r="35" spans="13:21">
      <c r="O35" s="1755"/>
      <c r="P35" s="1714"/>
      <c r="Q35" s="1714"/>
      <c r="R35" s="1714"/>
      <c r="S35" s="1714"/>
    </row>
    <row r="36" spans="13:21">
      <c r="O36" s="700"/>
      <c r="P36" s="700"/>
      <c r="Q36" s="700"/>
      <c r="R36" s="700"/>
      <c r="S36" s="700"/>
    </row>
    <row r="37" spans="13:21">
      <c r="O37" s="702"/>
      <c r="P37" s="702"/>
      <c r="Q37" s="702"/>
      <c r="R37" s="702"/>
      <c r="S37" s="702"/>
    </row>
    <row r="41" spans="13:21">
      <c r="M41" s="1755"/>
      <c r="N41" s="1755"/>
      <c r="O41" s="1755"/>
      <c r="P41" s="701"/>
      <c r="Q41" s="701"/>
      <c r="R41" s="701"/>
      <c r="S41" s="701"/>
      <c r="T41" s="300"/>
      <c r="U41" s="301"/>
    </row>
    <row r="42" spans="13:21">
      <c r="M42" s="1755"/>
      <c r="N42" s="1714"/>
      <c r="O42" s="1714"/>
    </row>
    <row r="43" spans="13:21">
      <c r="M43" s="700"/>
      <c r="N43" s="700"/>
      <c r="O43" s="700"/>
    </row>
    <row r="44" spans="13:21">
      <c r="M44" s="703"/>
      <c r="N44" s="702"/>
      <c r="O44" s="702"/>
    </row>
    <row r="45" spans="13:21">
      <c r="M45" s="1755"/>
      <c r="N45" s="1714"/>
      <c r="O45" s="1714"/>
    </row>
    <row r="46" spans="13:21">
      <c r="M46" s="700"/>
      <c r="N46" s="701"/>
      <c r="O46" s="701"/>
    </row>
    <row r="47" spans="13:21">
      <c r="M47" s="700"/>
      <c r="N47" s="701"/>
      <c r="O47" s="701"/>
    </row>
    <row r="48" spans="13: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M57" s="731" t="s">
        <v>832</v>
      </c>
      <c r="N57" s="583"/>
      <c r="U57" s="4"/>
      <c r="V57" s="547"/>
      <c r="W57" s="548"/>
    </row>
    <row r="58" spans="4:23" ht="14.25">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4721.8941580033679</v>
      </c>
      <c r="K67" s="693">
        <f>J67*(1+K66)</f>
        <v>3672.5843451137307</v>
      </c>
      <c r="L67" s="692">
        <f>K67*(1+L66)</f>
        <v>4896.7791268183073</v>
      </c>
      <c r="M67" s="692">
        <f>L67*(1+M66)</f>
        <v>6529.0388357577431</v>
      </c>
      <c r="N67" s="692">
        <f>M67*(1+N66)</f>
        <v>8705.3851143436568</v>
      </c>
      <c r="U67" s="551"/>
      <c r="V67" s="552"/>
      <c r="W67" s="552"/>
      <c r="X67" s="552"/>
      <c r="Y67" s="553"/>
    </row>
    <row r="68" spans="1:25" ht="15">
      <c r="U68" s="554"/>
      <c r="V68" s="555"/>
      <c r="W68" s="556"/>
      <c r="X68" s="555"/>
      <c r="Y68" s="557"/>
    </row>
    <row r="69" spans="1:25" ht="15">
      <c r="G69" s="697" t="s">
        <v>830</v>
      </c>
      <c r="H69" s="698">
        <f>M86*1.8</f>
        <v>4721.8941580033679</v>
      </c>
      <c r="I69" s="695"/>
      <c r="J69" s="694"/>
      <c r="K69" s="695"/>
      <c r="M69" s="259" t="s">
        <v>0</v>
      </c>
      <c r="N69" s="260">
        <v>0.6</v>
      </c>
      <c r="O69" s="261" t="s">
        <v>3</v>
      </c>
      <c r="P69" s="261" t="s">
        <v>3</v>
      </c>
      <c r="U69" s="554"/>
      <c r="V69" s="558"/>
      <c r="W69" s="556"/>
      <c r="X69" s="555"/>
      <c r="Y69" s="557"/>
    </row>
    <row r="70" spans="1:25" ht="15">
      <c r="G70" s="548"/>
      <c r="H70" s="694"/>
      <c r="I70" s="695"/>
      <c r="J70" s="694"/>
      <c r="K70" s="695"/>
      <c r="M70" s="21"/>
      <c r="N70" s="23" t="s">
        <v>3</v>
      </c>
      <c r="O70" s="261">
        <f>(1+N69/6)^6</f>
        <v>1.7715610000000008</v>
      </c>
      <c r="P70" s="266">
        <f>O70-1</f>
        <v>0.77156100000000083</v>
      </c>
      <c r="U70" s="559"/>
      <c r="V70" s="560"/>
      <c r="W70" s="556"/>
      <c r="X70" s="561"/>
      <c r="Y70" s="557"/>
    </row>
    <row r="71" spans="1:25" ht="14.25">
      <c r="A71" s="767" t="s">
        <v>865</v>
      </c>
      <c r="B71" s="767" t="s">
        <v>866</v>
      </c>
      <c r="C71" s="257"/>
      <c r="D71" s="257"/>
      <c r="G71" s="548"/>
      <c r="H71" s="694"/>
      <c r="I71" s="695"/>
      <c r="J71" s="694"/>
      <c r="K71" s="695"/>
      <c r="M71" s="21"/>
      <c r="N71" s="23"/>
    </row>
    <row r="72" spans="1:25">
      <c r="A72" s="257"/>
      <c r="B72" s="767" t="s">
        <v>869</v>
      </c>
      <c r="C72" s="257"/>
      <c r="D72" s="257"/>
      <c r="M72" s="21"/>
      <c r="N72" s="39"/>
    </row>
    <row r="73" spans="1:25" ht="15">
      <c r="A73" s="257"/>
      <c r="B73" s="767" t="s">
        <v>877</v>
      </c>
      <c r="C73" s="257"/>
      <c r="D73" s="257"/>
      <c r="G73" s="620"/>
      <c r="J73" s="696"/>
      <c r="K73" s="696"/>
      <c r="M73" s="21"/>
      <c r="N73" s="23"/>
    </row>
    <row r="74" spans="1:25" ht="14.25">
      <c r="A74" s="257"/>
      <c r="B74" s="767" t="s">
        <v>882</v>
      </c>
      <c r="C74" s="257"/>
      <c r="D74" s="257"/>
      <c r="J74" s="620"/>
    </row>
    <row r="75" spans="1:25" ht="14.25">
      <c r="A75" s="257"/>
      <c r="B75" s="767" t="s">
        <v>892</v>
      </c>
      <c r="C75" s="257"/>
      <c r="D75" s="257"/>
      <c r="J75" s="620"/>
      <c r="M75" s="1615" t="s">
        <v>103</v>
      </c>
      <c r="N75" s="1613"/>
      <c r="O75" s="1613"/>
      <c r="P75" s="1613"/>
      <c r="Q75" s="1614"/>
      <c r="S75" s="769"/>
      <c r="T75" s="254"/>
      <c r="U75" s="254"/>
      <c r="V75" s="254"/>
      <c r="W75" s="254"/>
      <c r="X75" s="254"/>
    </row>
    <row r="76" spans="1:25" ht="27">
      <c r="A76" s="257"/>
      <c r="B76" s="767" t="s">
        <v>900</v>
      </c>
      <c r="C76" s="257"/>
      <c r="D76" s="257"/>
      <c r="F76" s="795" t="s">
        <v>901</v>
      </c>
      <c r="G76" s="796">
        <f>C86</f>
        <v>1239.6790050487414</v>
      </c>
      <c r="J76" s="620"/>
      <c r="M76" s="24" t="s">
        <v>105</v>
      </c>
      <c r="N76" s="24" t="s">
        <v>106</v>
      </c>
      <c r="O76" s="24" t="s">
        <v>102</v>
      </c>
      <c r="P76" s="24" t="s">
        <v>134</v>
      </c>
      <c r="Q76" s="24" t="s">
        <v>107</v>
      </c>
      <c r="S76" s="254"/>
      <c r="T76" s="254"/>
      <c r="U76" s="254"/>
      <c r="V76" s="254"/>
      <c r="W76" s="254"/>
      <c r="X76" s="254"/>
    </row>
    <row r="77" spans="1:25">
      <c r="M77" s="25"/>
      <c r="N77" s="26"/>
      <c r="O77" s="26"/>
      <c r="P77" s="26"/>
      <c r="Q77" s="26">
        <f>(D142+D143+D144)*-0.75</f>
        <v>241500000</v>
      </c>
      <c r="S77" s="254"/>
      <c r="T77" s="254"/>
      <c r="U77" s="254"/>
      <c r="V77" s="254"/>
      <c r="W77" s="254"/>
      <c r="X77" s="254"/>
    </row>
    <row r="78" spans="1:25">
      <c r="M78" s="25">
        <v>1</v>
      </c>
      <c r="N78" s="26">
        <f>P70*Q77/(1-(1+P70)^-5)</f>
        <v>197659565.22943708</v>
      </c>
      <c r="O78" s="26">
        <f>Q77*$P$70</f>
        <v>186331981.50000021</v>
      </c>
      <c r="P78" s="26">
        <f>N78-O78</f>
        <v>11327583.729436874</v>
      </c>
      <c r="Q78" s="26">
        <f>Q77-P78</f>
        <v>230172416.27056313</v>
      </c>
      <c r="S78" s="254"/>
      <c r="T78" s="254"/>
      <c r="U78" s="254"/>
      <c r="V78" s="254"/>
      <c r="W78" s="254"/>
      <c r="X78" s="254"/>
    </row>
    <row r="79" spans="1:25">
      <c r="M79" s="25">
        <v>2</v>
      </c>
      <c r="N79" s="26">
        <f>P70*Q77/(1-(1+P70)^-5)</f>
        <v>197659565.22943708</v>
      </c>
      <c r="O79" s="26">
        <f>Q78*$P$70</f>
        <v>177592059.67013216</v>
      </c>
      <c r="P79" s="26">
        <f>N79-O79</f>
        <v>20067505.559304923</v>
      </c>
      <c r="Q79" s="26">
        <f>Q78-P79</f>
        <v>210104910.7112582</v>
      </c>
      <c r="S79" s="254"/>
      <c r="T79" s="254"/>
      <c r="U79" s="254"/>
      <c r="V79" s="254"/>
      <c r="W79" s="254"/>
      <c r="X79" s="254"/>
    </row>
    <row r="80" spans="1:25">
      <c r="M80" s="25">
        <v>3</v>
      </c>
      <c r="N80" s="26">
        <f>P70*Q77/(1-(1+P70)^-5)</f>
        <v>197659565.22943708</v>
      </c>
      <c r="O80" s="26">
        <f>Q79*$P$70</f>
        <v>162108755.01328927</v>
      </c>
      <c r="P80" s="26">
        <f>N80-O80</f>
        <v>35550810.21614781</v>
      </c>
      <c r="Q80" s="26">
        <f>Q79-P80</f>
        <v>174554100.49511039</v>
      </c>
    </row>
    <row r="81" spans="2:17">
      <c r="M81" s="25">
        <v>4</v>
      </c>
      <c r="N81" s="26">
        <f>P70*Q77/(1-(1+P70)^-5)</f>
        <v>197659565.22943708</v>
      </c>
      <c r="O81" s="26">
        <f>Q80*$P$70</f>
        <v>134679136.33210802</v>
      </c>
      <c r="P81" s="26">
        <f>N81-O81</f>
        <v>62980428.897329062</v>
      </c>
      <c r="Q81" s="26">
        <f>Q80-P81</f>
        <v>111573671.59778133</v>
      </c>
    </row>
    <row r="82" spans="2:17">
      <c r="M82" s="766">
        <v>5</v>
      </c>
      <c r="N82" s="26">
        <f>P70*Q77/(1-(1+P70)^-5)</f>
        <v>197659565.22943708</v>
      </c>
      <c r="O82" s="26">
        <f>Q81*$P$70</f>
        <v>86085893.631655857</v>
      </c>
      <c r="P82" s="26">
        <f>N82-O82</f>
        <v>111573671.59778123</v>
      </c>
      <c r="Q82" s="26">
        <f>Q81-P82</f>
        <v>0</v>
      </c>
    </row>
    <row r="83" spans="2:17" ht="13.5" thickBot="1">
      <c r="M83" s="1785"/>
      <c r="N83" s="1714"/>
      <c r="O83" s="1714"/>
      <c r="P83" s="1714"/>
      <c r="Q83" s="1714"/>
    </row>
    <row r="84" spans="2:17" ht="15" thickBot="1">
      <c r="B84" s="1703" t="s">
        <v>576</v>
      </c>
      <c r="C84" s="1704"/>
      <c r="D84" s="1704"/>
      <c r="E84" s="1704"/>
      <c r="F84" s="1704"/>
      <c r="G84" s="1704"/>
      <c r="H84" s="1704"/>
      <c r="I84" s="1704"/>
      <c r="J84" s="1704"/>
      <c r="K84" s="1705"/>
      <c r="L84" s="384"/>
      <c r="M84" s="384"/>
      <c r="N84" s="2"/>
      <c r="O84" s="2"/>
      <c r="P84" s="2"/>
      <c r="Q84" s="2"/>
    </row>
    <row r="85" spans="2:17" ht="30">
      <c r="B85" s="401" t="s">
        <v>577</v>
      </c>
      <c r="C85" s="402" t="s">
        <v>578</v>
      </c>
      <c r="D85" s="403" t="s">
        <v>579</v>
      </c>
      <c r="E85" s="403" t="s">
        <v>102</v>
      </c>
      <c r="F85" s="403" t="s">
        <v>580</v>
      </c>
      <c r="G85" s="403" t="s">
        <v>581</v>
      </c>
      <c r="H85" s="403" t="s">
        <v>582</v>
      </c>
      <c r="I85" s="404" t="s">
        <v>583</v>
      </c>
      <c r="J85" s="405" t="s">
        <v>584</v>
      </c>
      <c r="K85" s="401" t="s">
        <v>585</v>
      </c>
      <c r="L85" s="384"/>
      <c r="M85" s="401" t="s">
        <v>586</v>
      </c>
      <c r="N85" s="1759" t="s">
        <v>881</v>
      </c>
      <c r="O85" s="1759"/>
      <c r="P85" s="2"/>
      <c r="Q85" s="2"/>
    </row>
    <row r="86" spans="2:17" ht="14.25">
      <c r="B86" s="406" t="s">
        <v>878</v>
      </c>
      <c r="C86" s="794">
        <v>1239.6790050487414</v>
      </c>
      <c r="D86" s="408" t="s">
        <v>519</v>
      </c>
      <c r="E86" s="525"/>
      <c r="F86" s="525">
        <v>0.1</v>
      </c>
      <c r="G86" s="410">
        <f>1-F86</f>
        <v>0.9</v>
      </c>
      <c r="H86" s="411">
        <f>C86/G86</f>
        <v>1377.4211167208236</v>
      </c>
      <c r="I86" s="408">
        <v>1.5</v>
      </c>
      <c r="J86" s="412">
        <f>I86*H86*(1+E86)</f>
        <v>2066.1316750812357</v>
      </c>
      <c r="K86" s="1735">
        <f>SUM(J86:J90)</f>
        <v>2623.274532224093</v>
      </c>
      <c r="L86" s="1717" t="s">
        <v>588</v>
      </c>
      <c r="M86" s="1718">
        <f>SUM(K86,L90)</f>
        <v>2623.274532224093</v>
      </c>
      <c r="N86" s="1759"/>
      <c r="O86" s="1759"/>
      <c r="P86" s="2"/>
      <c r="Q86" s="2"/>
    </row>
    <row r="87" spans="2:17" ht="14.25">
      <c r="B87" s="406" t="s">
        <v>879</v>
      </c>
      <c r="C87" s="524">
        <v>500</v>
      </c>
      <c r="D87" s="408" t="s">
        <v>519</v>
      </c>
      <c r="E87" s="525">
        <v>0</v>
      </c>
      <c r="F87" s="525">
        <v>0.3</v>
      </c>
      <c r="G87" s="410">
        <f>1-F87</f>
        <v>0.7</v>
      </c>
      <c r="H87" s="411">
        <f>C87/G87</f>
        <v>714.28571428571433</v>
      </c>
      <c r="I87" s="410">
        <v>0.5</v>
      </c>
      <c r="J87" s="412">
        <f>I87*H87*(1+E87)</f>
        <v>357.14285714285717</v>
      </c>
      <c r="K87" s="1736"/>
      <c r="L87" s="1717"/>
      <c r="M87" s="1718"/>
      <c r="N87" s="1759"/>
      <c r="O87" s="1759"/>
      <c r="P87" s="2"/>
      <c r="Q87" s="2"/>
    </row>
    <row r="88" spans="2:17" ht="14.25">
      <c r="B88" s="406" t="s">
        <v>880</v>
      </c>
      <c r="C88" s="524">
        <v>200</v>
      </c>
      <c r="D88" s="408" t="s">
        <v>591</v>
      </c>
      <c r="E88" s="525"/>
      <c r="F88" s="525"/>
      <c r="G88" s="410">
        <f>1-F88</f>
        <v>1</v>
      </c>
      <c r="H88" s="411">
        <f>C88/G88</f>
        <v>200</v>
      </c>
      <c r="I88" s="408">
        <v>1</v>
      </c>
      <c r="J88" s="412">
        <f>I88*H88*(1+E88)</f>
        <v>200</v>
      </c>
      <c r="K88" s="1736"/>
      <c r="L88" s="1717"/>
      <c r="M88" s="1718"/>
      <c r="N88" s="1759"/>
      <c r="O88" s="1759"/>
      <c r="P88" s="2"/>
      <c r="Q88" s="2"/>
    </row>
    <row r="89" spans="2:17" ht="14.25">
      <c r="B89" s="406"/>
      <c r="C89" s="524"/>
      <c r="D89" s="408"/>
      <c r="E89" s="525"/>
      <c r="F89" s="525"/>
      <c r="G89" s="410">
        <f>1-F89</f>
        <v>1</v>
      </c>
      <c r="H89" s="411">
        <f>C89/G89</f>
        <v>0</v>
      </c>
      <c r="I89" s="408">
        <v>1</v>
      </c>
      <c r="J89" s="412">
        <f>I89*H89*(1+E89)</f>
        <v>0</v>
      </c>
      <c r="K89" s="1736"/>
      <c r="L89" s="1717"/>
      <c r="M89" s="1718"/>
      <c r="N89" s="1759"/>
      <c r="O89" s="1759"/>
      <c r="P89" s="2"/>
      <c r="Q89" s="2"/>
    </row>
    <row r="90" spans="2:17" ht="15.75" thickBot="1">
      <c r="B90" s="414"/>
      <c r="C90" s="530"/>
      <c r="D90" s="416"/>
      <c r="E90" s="531"/>
      <c r="F90" s="531"/>
      <c r="G90" s="410">
        <f>1-F90</f>
        <v>1</v>
      </c>
      <c r="H90" s="411">
        <f>C90/G90</f>
        <v>0</v>
      </c>
      <c r="I90" s="416">
        <v>1</v>
      </c>
      <c r="J90" s="412">
        <f>I90*C90*(1+E90)</f>
        <v>0</v>
      </c>
      <c r="K90" s="1737"/>
      <c r="L90" s="532">
        <v>0</v>
      </c>
      <c r="M90" s="1718"/>
      <c r="N90" s="1759"/>
      <c r="O90" s="1759"/>
      <c r="P90" s="2"/>
      <c r="Q90" s="2"/>
    </row>
    <row r="91" spans="2:17" ht="14.25">
      <c r="B91" s="384"/>
      <c r="C91" s="419" t="s">
        <v>595</v>
      </c>
      <c r="D91" s="384"/>
      <c r="E91" s="1719" t="s">
        <v>596</v>
      </c>
      <c r="F91" s="1720"/>
      <c r="I91" s="419" t="s">
        <v>595</v>
      </c>
      <c r="J91" s="384"/>
      <c r="K91" s="384"/>
      <c r="L91" s="419" t="s">
        <v>597</v>
      </c>
      <c r="M91" s="384"/>
      <c r="N91" s="1759"/>
      <c r="O91" s="1759"/>
      <c r="P91" s="2"/>
      <c r="Q91" s="2"/>
    </row>
    <row r="92" spans="2:17">
      <c r="M92" s="2"/>
      <c r="N92" s="2"/>
      <c r="O92" s="2"/>
      <c r="P92" s="2"/>
      <c r="Q92" s="2"/>
    </row>
    <row r="93" spans="2:17">
      <c r="M93" s="2"/>
      <c r="N93" s="2"/>
      <c r="O93" s="2"/>
      <c r="P93" s="2"/>
      <c r="Q93" s="2"/>
    </row>
    <row r="94" spans="2:17">
      <c r="M94" s="2"/>
      <c r="N94" s="2"/>
      <c r="O94" s="2"/>
      <c r="P94" s="2"/>
      <c r="Q94" s="2"/>
    </row>
    <row r="95" spans="2:17">
      <c r="M95" s="2"/>
      <c r="N95" s="2"/>
      <c r="O95" s="2"/>
      <c r="P95" s="2"/>
      <c r="Q95" s="2"/>
    </row>
    <row r="96" spans="2:17" ht="13.5" customHeight="1">
      <c r="M96" s="4"/>
      <c r="N96" s="5"/>
      <c r="O96" s="5"/>
      <c r="P96" s="5"/>
      <c r="Q96" s="5"/>
    </row>
    <row r="97" spans="3:22">
      <c r="M97" s="4"/>
      <c r="N97" s="5"/>
      <c r="O97" s="5"/>
      <c r="P97" s="5"/>
      <c r="Q97" s="5"/>
    </row>
    <row r="98" spans="3:22">
      <c r="M98" s="4"/>
      <c r="N98" s="5"/>
      <c r="O98" s="5"/>
      <c r="P98" s="5"/>
      <c r="Q98" s="5"/>
    </row>
    <row r="99" spans="3:22">
      <c r="H99" s="254"/>
      <c r="M99" s="4"/>
      <c r="N99" s="5"/>
      <c r="O99" s="5"/>
      <c r="P99" s="5"/>
      <c r="Q99" s="5"/>
    </row>
    <row r="101" spans="3:22">
      <c r="C101" s="272" t="s">
        <v>365</v>
      </c>
      <c r="D101" s="25"/>
      <c r="E101" s="707">
        <f>G63</f>
        <v>140000</v>
      </c>
      <c r="F101" s="707">
        <f>G64</f>
        <v>168000</v>
      </c>
      <c r="G101" s="707">
        <f>G65</f>
        <v>117600</v>
      </c>
      <c r="H101" s="707">
        <f>G66</f>
        <v>82320</v>
      </c>
      <c r="I101" s="707">
        <f>G67</f>
        <v>57624</v>
      </c>
      <c r="P101" s="272"/>
      <c r="Q101" s="25"/>
      <c r="R101" s="25"/>
      <c r="S101" s="25"/>
      <c r="T101" s="25"/>
      <c r="U101" s="25"/>
      <c r="V101" s="25"/>
    </row>
    <row r="102" spans="3:22">
      <c r="C102" s="27" t="s">
        <v>361</v>
      </c>
      <c r="D102" s="27" t="s">
        <v>112</v>
      </c>
      <c r="E102" s="27" t="s">
        <v>113</v>
      </c>
      <c r="F102" s="27" t="s">
        <v>114</v>
      </c>
      <c r="G102" s="27" t="s">
        <v>115</v>
      </c>
      <c r="H102" s="27" t="s">
        <v>116</v>
      </c>
      <c r="I102" s="27" t="s">
        <v>117</v>
      </c>
      <c r="P102" s="27"/>
      <c r="Q102" s="27"/>
      <c r="R102" s="27"/>
      <c r="S102" s="27"/>
      <c r="T102" s="27"/>
      <c r="U102" s="27"/>
      <c r="V102" s="27"/>
    </row>
    <row r="103" spans="3:22">
      <c r="C103" s="269" t="s">
        <v>118</v>
      </c>
      <c r="D103" s="270"/>
      <c r="E103" s="270"/>
      <c r="F103" s="270"/>
      <c r="G103" s="270"/>
      <c r="H103" s="270"/>
      <c r="I103" s="270"/>
      <c r="P103" s="269"/>
      <c r="Q103" s="270"/>
      <c r="R103" s="270"/>
      <c r="S103" s="270"/>
      <c r="T103" s="270"/>
      <c r="U103" s="270"/>
      <c r="V103" s="270"/>
    </row>
    <row r="104" spans="3:22">
      <c r="C104" s="25" t="s">
        <v>356</v>
      </c>
      <c r="D104" s="752"/>
      <c r="E104" s="752">
        <f>E101*J67</f>
        <v>661065182.12047148</v>
      </c>
      <c r="F104" s="752">
        <f>F101*K67</f>
        <v>616994169.97910678</v>
      </c>
      <c r="G104" s="752">
        <f>G101*L67</f>
        <v>575861225.313833</v>
      </c>
      <c r="H104" s="752">
        <f>H101*M67</f>
        <v>537470476.95957744</v>
      </c>
      <c r="I104" s="752">
        <f>I101*N67</f>
        <v>501639111.8289389</v>
      </c>
      <c r="P104" s="25"/>
      <c r="Q104" s="26"/>
      <c r="R104" s="26"/>
      <c r="S104" s="26"/>
      <c r="T104" s="26"/>
      <c r="U104" s="26"/>
      <c r="V104" s="26"/>
    </row>
    <row r="105" spans="3:22">
      <c r="C105" s="25" t="s">
        <v>867</v>
      </c>
      <c r="D105" s="752"/>
      <c r="E105" s="752">
        <f>1000000*12</f>
        <v>12000000</v>
      </c>
      <c r="F105" s="752">
        <f>1000000*12</f>
        <v>12000000</v>
      </c>
      <c r="G105" s="752">
        <f>1000000*12</f>
        <v>12000000</v>
      </c>
      <c r="H105" s="752">
        <f>1000000*12</f>
        <v>12000000</v>
      </c>
      <c r="I105" s="752">
        <f>1000000*12</f>
        <v>12000000</v>
      </c>
      <c r="P105" s="25"/>
      <c r="Q105" s="26"/>
      <c r="R105" s="26"/>
      <c r="S105" s="26"/>
      <c r="T105" s="26"/>
      <c r="U105" s="26"/>
      <c r="V105" s="26"/>
    </row>
    <row r="106" spans="3:22">
      <c r="C106" s="25"/>
      <c r="D106" s="752"/>
      <c r="E106" s="752"/>
      <c r="F106" s="752"/>
      <c r="G106" s="752"/>
      <c r="H106" s="752"/>
      <c r="I106" s="752"/>
      <c r="P106" s="25"/>
      <c r="Q106" s="26"/>
      <c r="R106" s="26"/>
      <c r="S106" s="26"/>
      <c r="T106" s="26"/>
      <c r="U106" s="26"/>
      <c r="V106" s="26"/>
    </row>
    <row r="107" spans="3:22">
      <c r="C107" s="25" t="s">
        <v>874</v>
      </c>
      <c r="D107" s="752"/>
      <c r="E107" s="752"/>
      <c r="F107" s="752"/>
      <c r="G107" s="752">
        <f>G131*0.6*-1</f>
        <v>15408000</v>
      </c>
      <c r="H107" s="752"/>
      <c r="I107" s="753"/>
      <c r="P107" s="25"/>
      <c r="Q107" s="26"/>
      <c r="R107" s="26"/>
      <c r="S107" s="26"/>
      <c r="T107" s="26"/>
      <c r="U107" s="26"/>
      <c r="V107" s="280"/>
    </row>
    <row r="108" spans="3:22">
      <c r="C108" s="25"/>
      <c r="D108" s="752"/>
      <c r="E108" s="752"/>
      <c r="F108" s="752"/>
      <c r="G108" s="752"/>
      <c r="H108" s="752"/>
      <c r="I108" s="753"/>
      <c r="P108" s="25"/>
      <c r="Q108" s="26"/>
      <c r="R108" s="26"/>
      <c r="S108" s="26"/>
      <c r="T108" s="26"/>
      <c r="U108" s="26"/>
      <c r="V108" s="280"/>
    </row>
    <row r="109" spans="3:22">
      <c r="C109" s="25" t="s">
        <v>774</v>
      </c>
      <c r="D109" s="752"/>
      <c r="E109" s="752"/>
      <c r="F109" s="752"/>
      <c r="G109" s="752"/>
      <c r="H109" s="752"/>
      <c r="I109" s="753"/>
      <c r="J109" s="382"/>
      <c r="P109" s="25"/>
      <c r="Q109" s="26"/>
      <c r="R109" s="26"/>
      <c r="S109" s="26"/>
      <c r="T109" s="26"/>
      <c r="U109" s="26"/>
      <c r="V109" s="280"/>
    </row>
    <row r="110" spans="3:22">
      <c r="C110" s="269" t="s">
        <v>121</v>
      </c>
      <c r="D110" s="754"/>
      <c r="E110" s="754"/>
      <c r="F110" s="754"/>
      <c r="G110" s="754"/>
      <c r="H110" s="754"/>
      <c r="I110" s="754"/>
      <c r="P110" s="269"/>
      <c r="Q110" s="270"/>
      <c r="R110" s="270"/>
      <c r="S110" s="270"/>
      <c r="T110" s="270"/>
      <c r="U110" s="270"/>
      <c r="V110" s="270"/>
    </row>
    <row r="111" spans="3:22">
      <c r="C111" s="25" t="s">
        <v>122</v>
      </c>
      <c r="D111" s="752"/>
      <c r="E111" s="752">
        <f>O78*-1</f>
        <v>-186331981.50000021</v>
      </c>
      <c r="F111" s="752">
        <f>O79*-1</f>
        <v>-177592059.67013216</v>
      </c>
      <c r="G111" s="752">
        <f>O80*-1</f>
        <v>-162108755.01328927</v>
      </c>
      <c r="H111" s="752">
        <f>O81*-1</f>
        <v>-134679136.33210802</v>
      </c>
      <c r="I111" s="752">
        <f>O82*-1</f>
        <v>-86085893.631655857</v>
      </c>
      <c r="P111" s="25"/>
      <c r="Q111" s="26"/>
      <c r="R111" s="26"/>
      <c r="S111" s="26"/>
      <c r="T111" s="26"/>
      <c r="U111" s="26"/>
      <c r="V111" s="26"/>
    </row>
    <row r="112" spans="3:22">
      <c r="C112" s="47" t="s">
        <v>875</v>
      </c>
      <c r="D112" s="752"/>
      <c r="E112" s="752">
        <f>2500000*-1*12</f>
        <v>-30000000</v>
      </c>
      <c r="F112" s="752">
        <f>2500000*-1*12</f>
        <v>-30000000</v>
      </c>
      <c r="G112" s="752">
        <f>2500000*-1*12</f>
        <v>-30000000</v>
      </c>
      <c r="H112" s="752">
        <f>2500000*-1*12</f>
        <v>-30000000</v>
      </c>
      <c r="I112" s="752">
        <f>2500000*-1*12</f>
        <v>-30000000</v>
      </c>
      <c r="J112" s="351" t="s">
        <v>876</v>
      </c>
      <c r="P112" s="47"/>
      <c r="Q112" s="26"/>
      <c r="R112" s="26"/>
      <c r="S112" s="26"/>
      <c r="T112" s="26"/>
      <c r="U112" s="26"/>
      <c r="V112" s="26"/>
    </row>
    <row r="113" spans="3:22">
      <c r="C113" s="631" t="s">
        <v>899</v>
      </c>
      <c r="D113" s="752"/>
      <c r="E113" s="752">
        <f>E101*$K$86*-1</f>
        <v>-367258434.51137304</v>
      </c>
      <c r="F113" s="752">
        <f>F101*$K$86*-1</f>
        <v>-440710121.41364765</v>
      </c>
      <c r="G113" s="752">
        <f>G101*$K$86*-1</f>
        <v>-308497084.98955333</v>
      </c>
      <c r="H113" s="752">
        <f>H101*$K$86*-1</f>
        <v>-215947959.49268734</v>
      </c>
      <c r="I113" s="752">
        <f>I101*$K$86*-1</f>
        <v>-151163571.64488113</v>
      </c>
      <c r="P113" s="47"/>
      <c r="Q113" s="26"/>
      <c r="R113" s="26"/>
      <c r="S113" s="26"/>
      <c r="T113" s="26"/>
      <c r="U113" s="26"/>
      <c r="V113" s="26"/>
    </row>
    <row r="114" spans="3:22">
      <c r="C114" s="632"/>
      <c r="D114" s="752"/>
      <c r="E114" s="752"/>
      <c r="F114" s="752"/>
      <c r="G114" s="752"/>
      <c r="H114" s="752"/>
      <c r="I114" s="752"/>
      <c r="P114" s="47"/>
      <c r="Q114" s="26"/>
      <c r="R114" s="26"/>
      <c r="S114" s="26"/>
      <c r="T114" s="26"/>
      <c r="U114" s="26"/>
      <c r="V114" s="26"/>
    </row>
    <row r="115" spans="3:22">
      <c r="C115" s="47" t="s">
        <v>802</v>
      </c>
      <c r="D115" s="752"/>
      <c r="E115" s="752"/>
      <c r="F115" s="752"/>
      <c r="G115" s="752"/>
      <c r="H115" s="752"/>
      <c r="I115" s="752"/>
      <c r="P115" s="47"/>
      <c r="Q115" s="26"/>
      <c r="R115" s="26"/>
      <c r="S115" s="26"/>
      <c r="T115" s="26"/>
      <c r="U115" s="26"/>
      <c r="V115" s="26"/>
    </row>
    <row r="116" spans="3:22" ht="15.75" customHeight="1">
      <c r="C116" s="287" t="s">
        <v>803</v>
      </c>
      <c r="D116" s="752"/>
      <c r="E116" s="752"/>
      <c r="F116" s="752"/>
      <c r="G116" s="752"/>
      <c r="H116" s="752"/>
      <c r="I116" s="752"/>
      <c r="P116" s="287"/>
      <c r="Q116" s="26"/>
      <c r="R116" s="26"/>
      <c r="S116" s="26"/>
      <c r="T116" s="26"/>
      <c r="U116" s="26"/>
      <c r="V116" s="26"/>
    </row>
    <row r="117" spans="3:22" ht="15.75" customHeight="1">
      <c r="C117" s="199" t="s">
        <v>860</v>
      </c>
      <c r="D117" s="752"/>
      <c r="E117" s="752">
        <f>(300000-230000)*3*13*1.45*-1</f>
        <v>-3958500</v>
      </c>
      <c r="F117" s="752">
        <f>(300000-230000)*3*13*1.45*-1</f>
        <v>-3958500</v>
      </c>
      <c r="G117" s="752">
        <f>(300000-230000)*3*13*1.45*-1</f>
        <v>-3958500</v>
      </c>
      <c r="H117" s="752">
        <f>(300000-230000)*3*13*1.45*-1</f>
        <v>-3958500</v>
      </c>
      <c r="I117" s="752">
        <f>(300000-230000)*3*13*1.45*-1</f>
        <v>-3958500</v>
      </c>
      <c r="J117" s="351" t="s">
        <v>861</v>
      </c>
      <c r="P117" s="199"/>
      <c r="Q117" s="26"/>
      <c r="R117" s="26"/>
      <c r="S117" s="26"/>
      <c r="T117" s="26"/>
      <c r="U117" s="26"/>
      <c r="V117" s="26"/>
    </row>
    <row r="118" spans="3:22" ht="15.75" customHeight="1">
      <c r="C118" s="199" t="s">
        <v>862</v>
      </c>
      <c r="D118" s="752"/>
      <c r="E118" s="752">
        <f>230000*5*13*1.45*-1</f>
        <v>-21677500</v>
      </c>
      <c r="F118" s="752">
        <f>230000*5*13*1.45*-1</f>
        <v>-21677500</v>
      </c>
      <c r="G118" s="752">
        <f>230000*5*13*1.45*-1</f>
        <v>-21677500</v>
      </c>
      <c r="H118" s="752">
        <f>230000*5*13*1.45*-1</f>
        <v>-21677500</v>
      </c>
      <c r="I118" s="752">
        <f>230000*5*13*1.45*-1</f>
        <v>-21677500</v>
      </c>
      <c r="P118" s="199"/>
      <c r="Q118" s="26"/>
      <c r="R118" s="26"/>
      <c r="S118" s="26"/>
      <c r="T118" s="26"/>
      <c r="U118" s="26"/>
      <c r="V118" s="26"/>
    </row>
    <row r="119" spans="3:22" ht="15.75" customHeight="1">
      <c r="E119" s="752"/>
      <c r="F119" s="752"/>
      <c r="G119" s="752"/>
      <c r="H119" s="752"/>
      <c r="I119" s="752"/>
      <c r="P119" s="199"/>
      <c r="Q119" s="26"/>
      <c r="R119" s="26"/>
      <c r="S119" s="26"/>
      <c r="T119" s="26"/>
      <c r="U119" s="26"/>
      <c r="V119" s="26"/>
    </row>
    <row r="120" spans="3:22" ht="15.75" customHeight="1">
      <c r="E120" s="752"/>
      <c r="F120" s="752"/>
      <c r="G120" s="752"/>
      <c r="H120" s="752"/>
      <c r="I120" s="752"/>
      <c r="P120" s="199"/>
      <c r="Q120" s="26"/>
      <c r="R120" s="26"/>
      <c r="S120" s="26"/>
      <c r="T120" s="26"/>
      <c r="U120" s="26"/>
      <c r="V120" s="26"/>
    </row>
    <row r="121" spans="3:22" ht="15.75" customHeight="1">
      <c r="C121" s="199" t="s">
        <v>478</v>
      </c>
      <c r="D121" s="752"/>
      <c r="E121" s="752"/>
      <c r="F121" s="752"/>
      <c r="G121" s="752"/>
      <c r="H121" s="752"/>
      <c r="I121" s="752"/>
      <c r="P121" s="199"/>
      <c r="Q121" s="26"/>
      <c r="R121" s="26"/>
      <c r="S121" s="26"/>
      <c r="T121" s="26"/>
      <c r="U121" s="26"/>
      <c r="V121" s="26"/>
    </row>
    <row r="122" spans="3:22" ht="15.75" customHeight="1">
      <c r="C122" s="199" t="s">
        <v>543</v>
      </c>
      <c r="D122" s="752"/>
      <c r="E122" s="752"/>
      <c r="F122" s="752"/>
      <c r="G122" s="752"/>
      <c r="H122" s="752"/>
      <c r="I122" s="752"/>
      <c r="P122" s="199"/>
      <c r="Q122" s="26"/>
      <c r="R122" s="26"/>
      <c r="S122" s="26"/>
      <c r="T122" s="26"/>
      <c r="U122" s="26"/>
      <c r="V122" s="26"/>
    </row>
    <row r="123" spans="3:22" ht="15.75" customHeight="1">
      <c r="C123" s="199" t="s">
        <v>766</v>
      </c>
      <c r="D123" s="752"/>
      <c r="E123" s="752"/>
      <c r="F123" s="752"/>
      <c r="G123" s="752"/>
      <c r="H123" s="752"/>
      <c r="I123" s="752">
        <f>M16</f>
        <v>0</v>
      </c>
      <c r="P123" s="199"/>
      <c r="Q123" s="26"/>
      <c r="R123" s="26"/>
      <c r="S123" s="26"/>
      <c r="T123" s="26"/>
      <c r="U123" s="26"/>
      <c r="V123" s="26"/>
    </row>
    <row r="124" spans="3:22">
      <c r="C124" s="267" t="s">
        <v>125</v>
      </c>
      <c r="D124" s="755"/>
      <c r="E124" s="755"/>
      <c r="F124" s="755"/>
      <c r="G124" s="755"/>
      <c r="H124" s="755"/>
      <c r="I124" s="755"/>
      <c r="P124" s="267"/>
      <c r="Q124" s="268"/>
      <c r="R124" s="268"/>
      <c r="S124" s="268"/>
      <c r="T124" s="268"/>
      <c r="U124" s="268"/>
      <c r="V124" s="268"/>
    </row>
    <row r="125" spans="3:22">
      <c r="C125" s="25" t="s">
        <v>761</v>
      </c>
      <c r="D125" s="752"/>
      <c r="E125" s="752"/>
      <c r="F125" s="752"/>
      <c r="G125" s="752"/>
      <c r="H125" s="752"/>
      <c r="I125" s="752"/>
      <c r="J125" s="1746"/>
      <c r="K125" s="1747"/>
      <c r="L125" s="1747"/>
      <c r="M125" s="1747"/>
      <c r="P125" s="25"/>
      <c r="Q125" s="26"/>
      <c r="R125" s="26"/>
      <c r="S125" s="26"/>
      <c r="T125" s="26"/>
      <c r="U125" s="26"/>
      <c r="V125" s="26"/>
    </row>
    <row r="126" spans="3:22">
      <c r="C126" s="25" t="s">
        <v>870</v>
      </c>
      <c r="D126" s="752"/>
      <c r="E126" s="752">
        <f>(($D$142+$D$143)*0.8)/5</f>
        <v>-51360000</v>
      </c>
      <c r="F126" s="752">
        <f>(($D$142+$D$143)*0.8)/5</f>
        <v>-51360000</v>
      </c>
      <c r="G126" s="752">
        <f>(($D$142+$D$143)*0.8)/5</f>
        <v>-51360000</v>
      </c>
      <c r="H126" s="752">
        <f>(($D$142+$D$143)*0.8)/5</f>
        <v>-51360000</v>
      </c>
      <c r="I126" s="752">
        <f>(($D$142+$D$143)*0.8)/5</f>
        <v>-51360000</v>
      </c>
      <c r="P126" s="25"/>
      <c r="Q126" s="26"/>
      <c r="R126" s="26"/>
      <c r="S126" s="26"/>
      <c r="T126" s="26"/>
      <c r="U126" s="26"/>
      <c r="V126" s="26"/>
    </row>
    <row r="127" spans="3:22">
      <c r="C127" s="25" t="s">
        <v>871</v>
      </c>
      <c r="D127" s="752"/>
      <c r="E127" s="752">
        <f>(($D$142+$D$143)*0.2)/5</f>
        <v>-12840000</v>
      </c>
      <c r="F127" s="752">
        <f>(($D$142+$D$143)*0.2)/5</f>
        <v>-12840000</v>
      </c>
      <c r="G127" s="752">
        <f>(($D$142+$D$143)*0.2)/5</f>
        <v>-12840000</v>
      </c>
      <c r="H127" s="752"/>
      <c r="I127" s="752"/>
      <c r="P127" s="25"/>
      <c r="Q127" s="26"/>
      <c r="R127" s="26"/>
      <c r="S127" s="26"/>
      <c r="T127" s="26"/>
      <c r="U127" s="26"/>
      <c r="V127" s="26"/>
    </row>
    <row r="128" spans="3:22">
      <c r="C128" s="25" t="s">
        <v>773</v>
      </c>
      <c r="D128" s="752"/>
      <c r="E128" s="752"/>
      <c r="F128" s="752"/>
      <c r="G128" s="752"/>
      <c r="H128" s="752"/>
      <c r="I128" s="752"/>
      <c r="P128" s="25"/>
      <c r="Q128" s="26"/>
      <c r="R128" s="26"/>
      <c r="S128" s="26"/>
      <c r="T128" s="26"/>
      <c r="U128" s="26"/>
      <c r="V128" s="26"/>
    </row>
    <row r="129" spans="3:22">
      <c r="C129" s="25" t="s">
        <v>787</v>
      </c>
      <c r="D129" s="752"/>
      <c r="E129" s="752"/>
      <c r="F129" s="752"/>
      <c r="G129" s="752"/>
      <c r="H129" s="752"/>
      <c r="I129" s="756"/>
      <c r="P129" s="25"/>
      <c r="Q129" s="26"/>
      <c r="R129" s="26"/>
      <c r="S129" s="26"/>
      <c r="T129" s="26"/>
      <c r="U129" s="26"/>
      <c r="V129" s="26"/>
    </row>
    <row r="130" spans="3:22">
      <c r="C130" s="25" t="s">
        <v>768</v>
      </c>
      <c r="D130" s="752"/>
      <c r="E130" s="752"/>
      <c r="F130" s="752"/>
      <c r="G130" s="752"/>
      <c r="H130" s="752"/>
      <c r="I130" s="756"/>
      <c r="P130" s="25"/>
      <c r="Q130" s="26"/>
      <c r="R130" s="26"/>
      <c r="S130" s="26"/>
      <c r="T130" s="26"/>
      <c r="U130" s="26"/>
      <c r="V130" s="26"/>
    </row>
    <row r="131" spans="3:22">
      <c r="C131" s="25" t="s">
        <v>872</v>
      </c>
      <c r="D131" s="752"/>
      <c r="E131" s="752"/>
      <c r="F131" s="752"/>
      <c r="G131" s="752">
        <f>G127*2</f>
        <v>-25680000</v>
      </c>
      <c r="H131" s="757"/>
      <c r="I131" s="758"/>
      <c r="P131" s="25"/>
      <c r="Q131" s="26"/>
      <c r="R131" s="26"/>
      <c r="S131" s="26"/>
      <c r="T131" s="26"/>
      <c r="U131" s="26"/>
      <c r="V131" s="26"/>
    </row>
    <row r="132" spans="3:22">
      <c r="C132" s="25" t="s">
        <v>873</v>
      </c>
      <c r="D132" s="752"/>
      <c r="E132" s="752"/>
      <c r="F132" s="752"/>
      <c r="G132" s="752"/>
      <c r="H132" s="752"/>
      <c r="I132" s="759">
        <v>0</v>
      </c>
      <c r="P132" s="25"/>
      <c r="Q132" s="26"/>
      <c r="R132" s="26"/>
      <c r="S132" s="26"/>
      <c r="T132" s="26"/>
      <c r="U132" s="26"/>
      <c r="V132" s="26"/>
    </row>
    <row r="133" spans="3:22">
      <c r="C133" s="25" t="s">
        <v>781</v>
      </c>
      <c r="D133" s="752"/>
      <c r="E133" s="752"/>
      <c r="F133" s="752"/>
      <c r="G133" s="752"/>
      <c r="H133" s="752"/>
      <c r="I133" s="759"/>
      <c r="P133" s="25"/>
      <c r="Q133" s="26"/>
      <c r="R133" s="26"/>
      <c r="S133" s="26"/>
      <c r="T133" s="26"/>
      <c r="U133" s="26"/>
      <c r="V133" s="26"/>
    </row>
    <row r="134" spans="3:22">
      <c r="C134" s="25" t="s">
        <v>786</v>
      </c>
      <c r="D134" s="752"/>
      <c r="E134" s="752"/>
      <c r="F134" s="752"/>
      <c r="G134" s="752"/>
      <c r="H134" s="752"/>
      <c r="I134" s="759"/>
      <c r="P134" s="25"/>
      <c r="Q134" s="26"/>
      <c r="R134" s="26"/>
      <c r="S134" s="26"/>
      <c r="T134" s="26"/>
      <c r="U134" s="26"/>
      <c r="V134" s="26"/>
    </row>
    <row r="135" spans="3:22" ht="14.25">
      <c r="C135" s="31" t="s">
        <v>130</v>
      </c>
      <c r="D135" s="760"/>
      <c r="E135" s="760">
        <f>SUM(E103:E131)</f>
        <v>-361233.89090180397</v>
      </c>
      <c r="F135" s="760">
        <f>SUM(F103:F131)</f>
        <v>-109144011.10467303</v>
      </c>
      <c r="G135" s="760">
        <f>SUM(G103:G131)</f>
        <v>-12852614.689009607</v>
      </c>
      <c r="H135" s="760">
        <f>SUM(H103:H131)</f>
        <v>91847381.134782076</v>
      </c>
      <c r="I135" s="760">
        <f>SUM(I103:I132)</f>
        <v>169393646.5524019</v>
      </c>
      <c r="K135" s="259"/>
      <c r="L135" s="259"/>
      <c r="M135" s="259"/>
      <c r="P135" s="31"/>
      <c r="Q135" s="32"/>
      <c r="R135" s="32"/>
      <c r="S135" s="32"/>
      <c r="T135" s="32"/>
      <c r="U135" s="32"/>
      <c r="V135" s="32"/>
    </row>
    <row r="136" spans="3:22">
      <c r="C136" s="33" t="s">
        <v>353</v>
      </c>
      <c r="D136" s="752"/>
      <c r="E136" s="752">
        <f>E135*0.1</f>
        <v>-36123.389090180397</v>
      </c>
      <c r="F136" s="752">
        <f>F135*0.1</f>
        <v>-10914401.110467304</v>
      </c>
      <c r="G136" s="752">
        <f>G135*0.1</f>
        <v>-1285261.4689009609</v>
      </c>
      <c r="H136" s="752">
        <f>H135*0.1</f>
        <v>9184738.113478208</v>
      </c>
      <c r="I136" s="752">
        <f>I135*0.1</f>
        <v>16939364.655240189</v>
      </c>
      <c r="K136" s="276"/>
      <c r="L136" s="259"/>
      <c r="M136" s="259"/>
      <c r="P136" s="33"/>
      <c r="Q136" s="26"/>
      <c r="R136" s="26"/>
      <c r="S136" s="26"/>
      <c r="T136" s="26"/>
      <c r="U136" s="26"/>
      <c r="V136" s="26"/>
    </row>
    <row r="137" spans="3:22" ht="28.5">
      <c r="C137" s="34" t="s">
        <v>132</v>
      </c>
      <c r="D137" s="761"/>
      <c r="E137" s="761">
        <f>E135-E136</f>
        <v>-325110.50181162357</v>
      </c>
      <c r="F137" s="761">
        <f>F135-F136</f>
        <v>-98229609.994205728</v>
      </c>
      <c r="G137" s="761">
        <f>G135-G136</f>
        <v>-11567353.220108647</v>
      </c>
      <c r="H137" s="761">
        <f>H135-H136</f>
        <v>82662643.021303862</v>
      </c>
      <c r="I137" s="761">
        <f>I135-I136</f>
        <v>152454281.89716172</v>
      </c>
      <c r="P137" s="34"/>
      <c r="Q137" s="35"/>
      <c r="R137" s="35"/>
      <c r="S137" s="35"/>
      <c r="T137" s="35"/>
      <c r="U137" s="35"/>
      <c r="V137" s="35"/>
    </row>
    <row r="138" spans="3:22">
      <c r="C138" s="33" t="s">
        <v>133</v>
      </c>
      <c r="D138" s="756"/>
      <c r="E138" s="756">
        <f>SUM(E125:E132)*-1</f>
        <v>64200000</v>
      </c>
      <c r="F138" s="756">
        <f>SUM(F125:F132)*-1</f>
        <v>64200000</v>
      </c>
      <c r="G138" s="756">
        <f>SUM(G125:G132)*-1</f>
        <v>89880000</v>
      </c>
      <c r="H138" s="756">
        <f>SUM(H125:H132)*-1</f>
        <v>51360000</v>
      </c>
      <c r="I138" s="756">
        <f>SUM(I125:I132)*-1</f>
        <v>51360000</v>
      </c>
      <c r="P138" s="33"/>
      <c r="Q138" s="26"/>
      <c r="R138" s="26"/>
      <c r="S138" s="26"/>
      <c r="T138" s="26"/>
      <c r="U138" s="26"/>
      <c r="V138" s="26"/>
    </row>
    <row r="139" spans="3:22" ht="26.25">
      <c r="C139" s="751" t="s">
        <v>712</v>
      </c>
      <c r="D139" s="762">
        <v>-19051601.111111112</v>
      </c>
      <c r="E139" s="763">
        <v>-3810320.2222222215</v>
      </c>
      <c r="F139" s="763"/>
      <c r="G139" s="763"/>
      <c r="H139" s="763"/>
      <c r="I139" s="764"/>
      <c r="P139" s="284"/>
      <c r="Q139" s="26"/>
      <c r="R139" s="26"/>
      <c r="S139" s="26"/>
      <c r="T139" s="26"/>
      <c r="U139" s="26"/>
    </row>
    <row r="140" spans="3:22">
      <c r="C140" s="25" t="s">
        <v>134</v>
      </c>
      <c r="D140" s="759"/>
      <c r="E140" s="759">
        <f>P78*-1</f>
        <v>-11327583.729436874</v>
      </c>
      <c r="F140" s="759">
        <f>P79*-1</f>
        <v>-20067505.559304923</v>
      </c>
      <c r="G140" s="759">
        <f>P80*-1</f>
        <v>-35550810.21614781</v>
      </c>
      <c r="H140" s="759">
        <f>P81*-1</f>
        <v>-62980428.897329062</v>
      </c>
      <c r="I140" s="759">
        <f>P82*-1</f>
        <v>-111573671.59778123</v>
      </c>
      <c r="L140">
        <v>-5635.4159226190286</v>
      </c>
      <c r="P140" s="25"/>
      <c r="R140" s="26"/>
      <c r="S140" s="26"/>
      <c r="T140" s="26"/>
      <c r="U140" s="26"/>
      <c r="V140" s="26"/>
    </row>
    <row r="141" spans="3:22">
      <c r="C141" s="25" t="s">
        <v>135</v>
      </c>
      <c r="D141" s="752">
        <f>(D142+D143+D144)*0.75*-1</f>
        <v>241500000</v>
      </c>
      <c r="E141" s="752"/>
      <c r="F141" s="752"/>
      <c r="G141" s="752"/>
      <c r="H141" s="752"/>
      <c r="I141" s="752"/>
      <c r="L141">
        <v>12397.915029761889</v>
      </c>
      <c r="P141" s="286"/>
      <c r="R141" s="26"/>
      <c r="S141" s="26"/>
      <c r="T141" s="26"/>
      <c r="U141" s="26"/>
      <c r="V141" s="26"/>
    </row>
    <row r="142" spans="3:22">
      <c r="C142" s="25" t="s">
        <v>858</v>
      </c>
      <c r="D142" s="752">
        <f>2000000*160*-1</f>
        <v>-320000000</v>
      </c>
      <c r="E142" s="752"/>
      <c r="F142" s="752"/>
      <c r="G142" s="752"/>
      <c r="H142" s="756"/>
      <c r="I142" s="752"/>
      <c r="L142">
        <v>-1127.0831845238117</v>
      </c>
      <c r="P142" s="286"/>
      <c r="Q142" s="26"/>
      <c r="V142" s="26"/>
    </row>
    <row r="143" spans="3:22">
      <c r="C143" s="25" t="s">
        <v>859</v>
      </c>
      <c r="D143" s="752">
        <f>1000000*-1</f>
        <v>-1000000</v>
      </c>
      <c r="E143" s="752"/>
      <c r="F143" s="752"/>
      <c r="G143" s="757"/>
      <c r="H143" s="758"/>
      <c r="I143" s="765"/>
      <c r="L143">
        <v>3381.2495535714093</v>
      </c>
      <c r="P143" s="286"/>
      <c r="Q143" s="26"/>
      <c r="R143" s="26"/>
      <c r="S143" s="26"/>
      <c r="T143" s="26"/>
      <c r="U143" s="26"/>
      <c r="V143" s="26"/>
    </row>
    <row r="144" spans="3:22">
      <c r="C144" s="25" t="s">
        <v>863</v>
      </c>
      <c r="D144" s="752">
        <f>1000000*-1</f>
        <v>-1000000</v>
      </c>
      <c r="E144" s="752"/>
      <c r="F144" s="752"/>
      <c r="G144" s="757">
        <v>-250000</v>
      </c>
      <c r="H144" s="758"/>
      <c r="I144" s="765"/>
      <c r="P144" s="286"/>
      <c r="Q144" s="26"/>
      <c r="R144" s="26"/>
      <c r="S144" s="26"/>
      <c r="T144" s="26"/>
      <c r="U144" s="26"/>
      <c r="V144" s="26"/>
    </row>
    <row r="145" spans="3:23">
      <c r="C145" s="199" t="s">
        <v>864</v>
      </c>
      <c r="D145" s="752">
        <f>4*1000000*-1</f>
        <v>-4000000</v>
      </c>
      <c r="E145" s="752"/>
      <c r="F145" s="752"/>
      <c r="G145" s="757"/>
      <c r="H145" s="758"/>
      <c r="I145" s="765"/>
      <c r="P145" s="286"/>
      <c r="Q145" s="26"/>
      <c r="R145" s="26"/>
      <c r="S145" s="26"/>
      <c r="T145" s="26"/>
      <c r="U145" s="26"/>
      <c r="V145" s="26"/>
    </row>
    <row r="146" spans="3:23">
      <c r="C146" s="199" t="s">
        <v>868</v>
      </c>
      <c r="D146" s="752">
        <f>D145*0.2</f>
        <v>-800000</v>
      </c>
      <c r="E146" s="752"/>
      <c r="F146" s="752"/>
      <c r="G146" s="757"/>
      <c r="H146" s="758"/>
      <c r="I146" s="765"/>
      <c r="P146" s="286"/>
      <c r="Q146" s="26"/>
      <c r="R146" s="26"/>
      <c r="S146" s="26"/>
      <c r="T146" s="26"/>
      <c r="U146" s="26"/>
      <c r="V146" s="26"/>
    </row>
    <row r="147" spans="3:23">
      <c r="C147" s="286" t="s">
        <v>412</v>
      </c>
      <c r="D147" s="752"/>
      <c r="E147" s="752"/>
      <c r="F147" s="752"/>
      <c r="G147" s="752"/>
      <c r="H147" s="759"/>
      <c r="I147" s="752">
        <f>(D139+E139+G139)*-1</f>
        <v>22861921.333333332</v>
      </c>
      <c r="J147" s="663" t="s">
        <v>29</v>
      </c>
      <c r="P147" s="286"/>
      <c r="Q147" s="26"/>
      <c r="R147" s="26"/>
      <c r="S147" s="26"/>
      <c r="T147" s="26"/>
      <c r="U147" s="26"/>
      <c r="V147" s="26"/>
    </row>
    <row r="148" spans="3:23" ht="14.25">
      <c r="C148" s="37" t="s">
        <v>139</v>
      </c>
      <c r="D148" s="761">
        <f t="shared" ref="D148:I148" si="0">SUM(D137:D147)</f>
        <v>-104351601.1111111</v>
      </c>
      <c r="E148" s="761">
        <f t="shared" si="0"/>
        <v>48736985.546529278</v>
      </c>
      <c r="F148" s="761">
        <f t="shared" si="0"/>
        <v>-54097115.553510651</v>
      </c>
      <c r="G148" s="761">
        <f t="shared" si="0"/>
        <v>42511836.563743547</v>
      </c>
      <c r="H148" s="761">
        <f t="shared" si="0"/>
        <v>71042214.1239748</v>
      </c>
      <c r="I148" s="761">
        <f t="shared" si="0"/>
        <v>115102531.63271382</v>
      </c>
      <c r="J148" s="1055">
        <f>NPV(C170,E148:I148)+D148</f>
        <v>7.4505805969238281E-7</v>
      </c>
      <c r="P148" s="37"/>
      <c r="Q148" s="35"/>
      <c r="R148" s="35"/>
      <c r="S148" s="35"/>
      <c r="T148" s="35"/>
      <c r="U148" s="35"/>
      <c r="V148" s="35"/>
      <c r="W148" s="297"/>
    </row>
    <row r="149" spans="3:23">
      <c r="C149" s="3"/>
      <c r="E149" s="5"/>
      <c r="F149" s="5"/>
      <c r="G149" s="5"/>
      <c r="H149" s="5"/>
      <c r="I149" s="5"/>
    </row>
    <row r="151" spans="3:23">
      <c r="E151" s="297"/>
      <c r="K151" s="274"/>
    </row>
    <row r="152" spans="3:23">
      <c r="C152" s="593"/>
      <c r="D152" s="380"/>
      <c r="E152" s="380"/>
      <c r="F152" s="380"/>
      <c r="G152" s="380"/>
      <c r="H152" s="380"/>
      <c r="I152" s="380"/>
    </row>
    <row r="153" spans="3:23" ht="12.75" customHeight="1">
      <c r="N153" s="299"/>
      <c r="O153" s="299"/>
      <c r="P153" s="299"/>
      <c r="Q153" s="299"/>
    </row>
    <row r="154" spans="3:23">
      <c r="N154" s="299"/>
      <c r="O154" s="299"/>
      <c r="P154" s="299"/>
      <c r="Q154" s="299"/>
    </row>
    <row r="155" spans="3:23">
      <c r="N155" s="299"/>
      <c r="O155" s="299"/>
      <c r="P155" s="299"/>
      <c r="Q155" s="299"/>
    </row>
    <row r="156" spans="3:23">
      <c r="N156" s="299"/>
      <c r="O156" s="299"/>
      <c r="P156" s="299"/>
      <c r="Q156" s="299"/>
    </row>
    <row r="157" spans="3:23">
      <c r="K157" s="299"/>
      <c r="L157" s="299"/>
      <c r="M157" s="299"/>
      <c r="N157" s="299"/>
    </row>
    <row r="158" spans="3:23">
      <c r="K158" s="299"/>
      <c r="L158" s="299"/>
      <c r="M158" s="299"/>
      <c r="N158" s="299"/>
    </row>
    <row r="159" spans="3:23">
      <c r="K159" s="299"/>
      <c r="L159" s="299"/>
      <c r="M159" s="299"/>
      <c r="N159" s="299"/>
    </row>
    <row r="160" spans="3:23">
      <c r="G160" s="25"/>
      <c r="H160" s="25" t="s">
        <v>483</v>
      </c>
      <c r="I160" s="25" t="s">
        <v>484</v>
      </c>
      <c r="K160" s="299"/>
      <c r="L160" s="299"/>
      <c r="M160" s="299"/>
      <c r="N160" s="299"/>
    </row>
    <row r="161" spans="2:17">
      <c r="G161" s="25" t="s">
        <v>485</v>
      </c>
      <c r="H161" s="343"/>
      <c r="I161" s="134"/>
      <c r="K161" s="299"/>
      <c r="L161" s="299"/>
      <c r="M161" s="299"/>
      <c r="N161" s="299"/>
    </row>
    <row r="162" spans="2:17">
      <c r="G162" s="25" t="s">
        <v>486</v>
      </c>
      <c r="H162" s="343"/>
      <c r="I162" s="134"/>
      <c r="N162" s="299"/>
      <c r="O162" s="299"/>
      <c r="P162" s="299"/>
      <c r="Q162" s="299"/>
    </row>
    <row r="163" spans="2:17">
      <c r="G163" s="25" t="s">
        <v>487</v>
      </c>
      <c r="H163" s="343"/>
      <c r="I163" s="134"/>
      <c r="N163" s="299"/>
      <c r="O163" s="299"/>
      <c r="P163" s="299"/>
      <c r="Q163" s="299"/>
    </row>
    <row r="164" spans="2:17">
      <c r="G164" s="271" t="s">
        <v>150</v>
      </c>
      <c r="H164" s="344"/>
      <c r="I164" s="25"/>
      <c r="J164" t="e">
        <f>H161*I161/(H161+H162)</f>
        <v>#DIV/0!</v>
      </c>
      <c r="N164" s="299"/>
      <c r="O164" s="299"/>
      <c r="P164" s="299"/>
      <c r="Q164" s="299"/>
    </row>
    <row r="165" spans="2:17">
      <c r="N165" s="299"/>
      <c r="O165" s="299"/>
      <c r="P165" s="299"/>
      <c r="Q165" s="299"/>
    </row>
    <row r="166" spans="2:17" ht="15">
      <c r="G166" s="345" t="s">
        <v>488</v>
      </c>
      <c r="H166" s="346"/>
      <c r="I166" t="s">
        <v>498</v>
      </c>
      <c r="N166" s="299"/>
      <c r="O166" s="299"/>
      <c r="P166" s="299"/>
      <c r="Q166" s="299"/>
    </row>
    <row r="167" spans="2:17" ht="15">
      <c r="G167" s="345" t="s">
        <v>489</v>
      </c>
      <c r="H167" s="346">
        <v>0.75</v>
      </c>
      <c r="I167" s="347" t="s">
        <v>490</v>
      </c>
    </row>
    <row r="168" spans="2:17" ht="15">
      <c r="G168" s="345" t="s">
        <v>491</v>
      </c>
      <c r="H168" s="346">
        <v>0.25</v>
      </c>
      <c r="I168" s="347" t="s">
        <v>492</v>
      </c>
    </row>
    <row r="169" spans="2:17" ht="15.75" thickBot="1">
      <c r="G169" s="345" t="s">
        <v>493</v>
      </c>
      <c r="H169" s="346"/>
      <c r="I169" t="s">
        <v>494</v>
      </c>
      <c r="M169" t="s">
        <v>448</v>
      </c>
      <c r="N169" s="304">
        <v>150000</v>
      </c>
      <c r="O169" s="352"/>
    </row>
    <row r="170" spans="2:17" ht="15">
      <c r="B170" s="40" t="s">
        <v>140</v>
      </c>
      <c r="C170" s="285">
        <f>C178*C172+C179*(1-C176)*C177</f>
        <v>0.21152499999999996</v>
      </c>
      <c r="G170" s="345" t="s">
        <v>495</v>
      </c>
      <c r="H170" s="346"/>
      <c r="I170" t="s">
        <v>496</v>
      </c>
      <c r="M170" t="s">
        <v>448</v>
      </c>
      <c r="N170" s="305">
        <v>160000</v>
      </c>
      <c r="O170" s="353"/>
    </row>
    <row r="171" spans="2:17" ht="15.75" thickBot="1">
      <c r="B171" s="42" t="s">
        <v>141</v>
      </c>
      <c r="C171" s="43" t="s">
        <v>142</v>
      </c>
      <c r="M171" t="s">
        <v>449</v>
      </c>
    </row>
    <row r="172" spans="2:17" ht="15.75" thickBot="1">
      <c r="B172" s="44" t="s">
        <v>143</v>
      </c>
      <c r="C172" s="573">
        <f>C173+C174*(C175-C173)</f>
        <v>0.15</v>
      </c>
      <c r="G172" s="348" t="s">
        <v>497</v>
      </c>
      <c r="H172" s="349">
        <f>H166*H167+H169*H168*(1-H170)</f>
        <v>0</v>
      </c>
    </row>
    <row r="173" spans="2:17" ht="15">
      <c r="B173" s="44" t="s">
        <v>144</v>
      </c>
      <c r="C173" s="783">
        <v>0.05</v>
      </c>
      <c r="D173" s="785" t="s">
        <v>889</v>
      </c>
    </row>
    <row r="174" spans="2:17" ht="18.75" thickBot="1">
      <c r="B174" s="47" t="s">
        <v>7</v>
      </c>
      <c r="C174" s="784">
        <v>1.3</v>
      </c>
      <c r="D174" s="786" t="s">
        <v>886</v>
      </c>
      <c r="I174" s="350" t="s">
        <v>502</v>
      </c>
    </row>
    <row r="175" spans="2:17" ht="18">
      <c r="B175" s="47" t="s">
        <v>146</v>
      </c>
      <c r="C175" s="49">
        <f>(0.1/1.3)+C173</f>
        <v>0.12692307692307692</v>
      </c>
      <c r="D175" s="4" t="s">
        <v>890</v>
      </c>
      <c r="I175" s="350" t="s">
        <v>883</v>
      </c>
    </row>
    <row r="176" spans="2:17" ht="18">
      <c r="B176" s="47" t="s">
        <v>148</v>
      </c>
      <c r="C176" s="49">
        <v>0.15</v>
      </c>
      <c r="D176" s="4" t="s">
        <v>891</v>
      </c>
      <c r="I176" s="350" t="s">
        <v>884</v>
      </c>
    </row>
    <row r="177" spans="2:15" ht="18">
      <c r="B177" s="47" t="s">
        <v>150</v>
      </c>
      <c r="C177" s="49">
        <f>P196</f>
        <v>0.46599999999999997</v>
      </c>
      <c r="D177" s="4"/>
      <c r="I177" s="350" t="s">
        <v>885</v>
      </c>
    </row>
    <row r="178" spans="2:15">
      <c r="B178" s="47" t="s">
        <v>152</v>
      </c>
      <c r="C178" s="49">
        <v>0.75</v>
      </c>
      <c r="D178" s="4"/>
      <c r="E178" s="4"/>
      <c r="F178" s="4"/>
    </row>
    <row r="179" spans="2:15" ht="13.5" thickBot="1">
      <c r="B179" s="50" t="s">
        <v>154</v>
      </c>
      <c r="C179" s="51">
        <v>0.25</v>
      </c>
      <c r="D179" s="4"/>
      <c r="E179" s="4"/>
      <c r="F179" s="4"/>
    </row>
    <row r="181" spans="2:15" ht="15.75">
      <c r="B181" s="570" t="s">
        <v>143</v>
      </c>
      <c r="C181" s="571">
        <f>C183+C182*(C184-C183)</f>
        <v>0.41000000000000003</v>
      </c>
      <c r="D181" t="s">
        <v>744</v>
      </c>
      <c r="L181" s="579"/>
    </row>
    <row r="182" spans="2:15" ht="14.25">
      <c r="B182" s="570" t="s">
        <v>745</v>
      </c>
      <c r="C182" s="491">
        <v>1.8</v>
      </c>
      <c r="D182" t="s">
        <v>746</v>
      </c>
    </row>
    <row r="183" spans="2:15" ht="14.25">
      <c r="B183" s="570" t="s">
        <v>144</v>
      </c>
      <c r="C183" s="572">
        <v>0.05</v>
      </c>
      <c r="D183" t="s">
        <v>747</v>
      </c>
      <c r="N183" s="580">
        <f>L196</f>
        <v>37500000</v>
      </c>
      <c r="O183" s="208">
        <v>1</v>
      </c>
    </row>
    <row r="184" spans="2:15" ht="14.25">
      <c r="B184" s="570" t="s">
        <v>146</v>
      </c>
      <c r="C184" s="572">
        <v>0.25</v>
      </c>
      <c r="N184" s="580">
        <f>L193</f>
        <v>3000000</v>
      </c>
      <c r="O184" s="581">
        <f>(N184*O183)/N183</f>
        <v>0.08</v>
      </c>
    </row>
    <row r="186" spans="2:15">
      <c r="N186" s="580">
        <f>L196</f>
        <v>37500000</v>
      </c>
      <c r="O186" s="208">
        <v>1</v>
      </c>
    </row>
    <row r="187" spans="2:15" ht="14.25">
      <c r="B187" s="570"/>
      <c r="C187" s="574"/>
      <c r="D187" s="574"/>
      <c r="E187" s="574"/>
      <c r="F187" s="574"/>
      <c r="G187" s="574"/>
      <c r="H187" s="574"/>
      <c r="N187" s="582">
        <f>L194</f>
        <v>4500000</v>
      </c>
      <c r="O187" s="583">
        <f>(N187*O186)/N186</f>
        <v>0.12</v>
      </c>
    </row>
    <row r="188" spans="2:15">
      <c r="C188" s="303"/>
      <c r="D188" s="303"/>
      <c r="E188" s="303"/>
      <c r="F188" s="303"/>
      <c r="G188" s="303"/>
      <c r="H188" s="303"/>
    </row>
    <row r="189" spans="2:15">
      <c r="C189" s="303"/>
      <c r="D189" s="303"/>
      <c r="E189" s="303"/>
      <c r="F189" s="303"/>
      <c r="G189" s="303"/>
      <c r="H189" s="303"/>
      <c r="L189" t="s">
        <v>751</v>
      </c>
      <c r="N189" s="580">
        <f>L196</f>
        <v>37500000</v>
      </c>
      <c r="O189" s="208">
        <v>1</v>
      </c>
    </row>
    <row r="190" spans="2:15" ht="14.25">
      <c r="C190" s="575"/>
      <c r="D190" s="576"/>
      <c r="E190" s="574"/>
      <c r="F190" s="584"/>
      <c r="G190" s="576"/>
      <c r="H190" s="576"/>
      <c r="N190" s="582">
        <f>L195</f>
        <v>30000000</v>
      </c>
      <c r="O190" s="585">
        <f>(N190*O189)/N189</f>
        <v>0.8</v>
      </c>
    </row>
    <row r="192" spans="2:15" ht="14.25">
      <c r="L192" s="570" t="s">
        <v>752</v>
      </c>
      <c r="N192" s="491"/>
    </row>
    <row r="193" spans="2:16" ht="14.25">
      <c r="B193" s="570"/>
      <c r="C193" s="578"/>
      <c r="L193" s="582">
        <v>3000000</v>
      </c>
      <c r="N193" s="468">
        <v>0.5</v>
      </c>
      <c r="O193" s="586">
        <f>L193/$L$196</f>
        <v>0.08</v>
      </c>
      <c r="P193" s="578">
        <f>N193*O193</f>
        <v>0.04</v>
      </c>
    </row>
    <row r="194" spans="2:16" ht="15" thickBot="1">
      <c r="L194" s="582">
        <v>4500000</v>
      </c>
      <c r="N194" s="468">
        <v>0.35</v>
      </c>
      <c r="O194" s="587">
        <f>L194/$L$196</f>
        <v>0.12</v>
      </c>
      <c r="P194" s="578">
        <f>N194*O194</f>
        <v>4.1999999999999996E-2</v>
      </c>
    </row>
    <row r="195" spans="2:16" ht="15" thickBot="1">
      <c r="C195" s="1782" t="s">
        <v>888</v>
      </c>
      <c r="D195" s="1783"/>
      <c r="E195" s="1783"/>
      <c r="F195" s="1783"/>
      <c r="G195" s="1783"/>
      <c r="H195" s="1783"/>
      <c r="I195" s="1784"/>
      <c r="L195" s="588">
        <v>30000000</v>
      </c>
      <c r="N195" s="468">
        <v>0.48</v>
      </c>
      <c r="O195" s="590">
        <f>L195/$L$196</f>
        <v>0.8</v>
      </c>
      <c r="P195" s="578">
        <f>N195*O195</f>
        <v>0.38400000000000001</v>
      </c>
    </row>
    <row r="196" spans="2:16" ht="15">
      <c r="C196" s="772" t="s">
        <v>143</v>
      </c>
      <c r="D196" s="773">
        <f>D198+D197*(D199-D198)</f>
        <v>0.41000000000000003</v>
      </c>
      <c r="E196" s="774" t="s">
        <v>744</v>
      </c>
      <c r="F196" s="774"/>
      <c r="G196" s="774"/>
      <c r="H196" s="774"/>
      <c r="I196" s="775"/>
      <c r="L196" s="582">
        <f>SUM(L193:L195)</f>
        <v>37500000</v>
      </c>
      <c r="N196" s="491"/>
      <c r="P196" s="591">
        <f>SUM(P193:P195)</f>
        <v>0.46599999999999997</v>
      </c>
    </row>
    <row r="197" spans="2:16" ht="14.25">
      <c r="C197" s="776" t="s">
        <v>745</v>
      </c>
      <c r="D197" s="777">
        <v>1.8</v>
      </c>
      <c r="E197" s="257" t="s">
        <v>746</v>
      </c>
      <c r="F197" s="257"/>
      <c r="G197" s="257"/>
      <c r="H197" s="257"/>
      <c r="I197" s="778"/>
      <c r="N197" s="491"/>
    </row>
    <row r="198" spans="2:16" ht="14.25">
      <c r="C198" s="776" t="s">
        <v>144</v>
      </c>
      <c r="D198" s="779">
        <v>0.05</v>
      </c>
      <c r="E198" s="257" t="s">
        <v>747</v>
      </c>
      <c r="F198" s="257"/>
      <c r="G198" s="257"/>
      <c r="H198" s="257"/>
      <c r="I198" s="778"/>
    </row>
    <row r="199" spans="2:16" ht="14.25">
      <c r="C199" s="776" t="s">
        <v>146</v>
      </c>
      <c r="D199" s="779">
        <v>0.25</v>
      </c>
      <c r="E199" s="257"/>
      <c r="F199" s="257"/>
      <c r="G199" s="257"/>
      <c r="H199" s="257"/>
      <c r="I199" s="778"/>
      <c r="L199" s="548"/>
      <c r="M199" s="548"/>
      <c r="N199" s="548"/>
    </row>
    <row r="200" spans="2:16" ht="13.5" thickBot="1">
      <c r="C200" s="780"/>
      <c r="D200" s="781"/>
      <c r="E200" s="781"/>
      <c r="F200" s="781"/>
      <c r="G200" s="781"/>
      <c r="H200" s="781"/>
      <c r="I200" s="782"/>
      <c r="M200" s="787"/>
      <c r="N200" s="788"/>
    </row>
    <row r="201" spans="2:16">
      <c r="M201" s="787"/>
    </row>
    <row r="202" spans="2:16" ht="14.25">
      <c r="M202" s="789"/>
    </row>
  </sheetData>
  <mergeCells count="18">
    <mergeCell ref="M45:O45"/>
    <mergeCell ref="A2:B12"/>
    <mergeCell ref="M30:N30"/>
    <mergeCell ref="O35:S35"/>
    <mergeCell ref="M41:O41"/>
    <mergeCell ref="M42:O42"/>
    <mergeCell ref="J125:M125"/>
    <mergeCell ref="C195:I195"/>
    <mergeCell ref="D61:D67"/>
    <mergeCell ref="V66:Y66"/>
    <mergeCell ref="M75:Q75"/>
    <mergeCell ref="M83:Q83"/>
    <mergeCell ref="B84:K84"/>
    <mergeCell ref="N85:O91"/>
    <mergeCell ref="K86:K90"/>
    <mergeCell ref="L86:L89"/>
    <mergeCell ref="M86:M90"/>
    <mergeCell ref="E91:F91"/>
  </mergeCells>
  <conditionalFormatting sqref="G63:K63">
    <cfRule type="containsText" dxfId="20"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A48C-71C4-443D-95CA-98879F9C56EB}">
  <sheetPr>
    <outlinePr summaryBelow="0" summaryRight="0"/>
  </sheetPr>
  <dimension ref="A1:AN96"/>
  <sheetViews>
    <sheetView topLeftCell="V28" zoomScaleNormal="100" workbookViewId="0">
      <selection activeCell="AD56" sqref="AD56:AD58"/>
    </sheetView>
  </sheetViews>
  <sheetFormatPr defaultColWidth="14.42578125" defaultRowHeight="15" customHeight="1"/>
  <cols>
    <col min="1" max="1" width="14.42578125" style="384"/>
    <col min="2" max="2" width="76.42578125" style="384" bestFit="1" customWidth="1"/>
    <col min="3" max="3" width="17.42578125" style="384" bestFit="1" customWidth="1"/>
    <col min="4" max="4" width="18.140625" style="384" customWidth="1"/>
    <col min="5" max="5" width="18.7109375" style="384" bestFit="1" customWidth="1"/>
    <col min="6" max="6" width="22.85546875" style="384" customWidth="1"/>
    <col min="7" max="7" width="19.14062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29" width="16.28515625" style="384" customWidth="1"/>
    <col min="30" max="40" width="18" style="384" bestFit="1" customWidth="1"/>
    <col min="41" max="16384" width="14.42578125" style="384"/>
  </cols>
  <sheetData>
    <row r="1" spans="1:40" ht="14.25">
      <c r="A1" s="448"/>
    </row>
    <row r="2" spans="1:40" ht="15" customHeight="1">
      <c r="B2" s="1726" t="s">
        <v>628</v>
      </c>
      <c r="C2" s="1726"/>
      <c r="E2" s="791"/>
    </row>
    <row r="3" spans="1:40" ht="15" customHeight="1">
      <c r="B3" s="1726"/>
      <c r="C3" s="1726"/>
      <c r="Q3" s="449" t="s">
        <v>629</v>
      </c>
      <c r="R3" s="797">
        <v>168000</v>
      </c>
      <c r="AC3" s="384" t="s">
        <v>906</v>
      </c>
      <c r="AD3" s="797">
        <v>117600</v>
      </c>
      <c r="AE3" s="384" t="s">
        <v>908</v>
      </c>
    </row>
    <row r="4" spans="1:40" ht="15" customHeight="1">
      <c r="B4" s="1726"/>
      <c r="C4" s="1726"/>
      <c r="Q4" s="449" t="s">
        <v>631</v>
      </c>
      <c r="R4" s="791">
        <v>6613.33</v>
      </c>
      <c r="AC4" s="384" t="s">
        <v>907</v>
      </c>
      <c r="AD4" s="791">
        <v>8817.77</v>
      </c>
    </row>
    <row r="5" spans="1:40"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c r="AC5" s="1727" t="s">
        <v>793</v>
      </c>
      <c r="AD5" s="1727"/>
      <c r="AE5" s="1727"/>
      <c r="AF5" s="1727"/>
      <c r="AG5" s="1727"/>
      <c r="AH5" s="1727"/>
      <c r="AI5" s="1727"/>
      <c r="AJ5" s="1727"/>
      <c r="AK5" s="1727"/>
      <c r="AL5" s="1727"/>
      <c r="AM5" s="1727"/>
      <c r="AN5" s="1727"/>
    </row>
    <row r="6" spans="1:40"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c r="AC6" s="454">
        <v>25</v>
      </c>
      <c r="AD6" s="455">
        <v>26</v>
      </c>
      <c r="AE6" s="456">
        <v>27</v>
      </c>
      <c r="AF6" s="457">
        <v>28</v>
      </c>
      <c r="AG6" s="454">
        <v>29</v>
      </c>
      <c r="AH6" s="454">
        <v>30</v>
      </c>
      <c r="AI6" s="455">
        <v>31</v>
      </c>
      <c r="AJ6" s="456">
        <v>32</v>
      </c>
      <c r="AK6" s="457">
        <v>33</v>
      </c>
      <c r="AL6" s="454">
        <v>34</v>
      </c>
      <c r="AM6" s="454">
        <v>35</v>
      </c>
      <c r="AN6" s="455">
        <v>36</v>
      </c>
    </row>
    <row r="7" spans="1:40" ht="15" customHeight="1">
      <c r="B7" s="458" t="s">
        <v>634</v>
      </c>
      <c r="C7" s="459">
        <v>140000</v>
      </c>
      <c r="D7" s="452"/>
      <c r="E7" s="452">
        <f>$C$7/12</f>
        <v>11666.666666666666</v>
      </c>
      <c r="F7" s="452">
        <f t="shared" ref="F7:P7" si="0">$C$7/12</f>
        <v>11666.666666666666</v>
      </c>
      <c r="G7" s="452">
        <f t="shared" si="0"/>
        <v>11666.666666666666</v>
      </c>
      <c r="H7" s="452">
        <f t="shared" si="0"/>
        <v>11666.666666666666</v>
      </c>
      <c r="I7" s="452">
        <f t="shared" si="0"/>
        <v>11666.666666666666</v>
      </c>
      <c r="J7" s="452">
        <f t="shared" si="0"/>
        <v>11666.666666666666</v>
      </c>
      <c r="K7" s="452">
        <f t="shared" si="0"/>
        <v>11666.666666666666</v>
      </c>
      <c r="L7" s="452">
        <f t="shared" si="0"/>
        <v>11666.666666666666</v>
      </c>
      <c r="M7" s="452">
        <f t="shared" si="0"/>
        <v>11666.666666666666</v>
      </c>
      <c r="N7" s="452">
        <f t="shared" si="0"/>
        <v>11666.666666666666</v>
      </c>
      <c r="O7" s="452">
        <f t="shared" si="0"/>
        <v>11666.666666666666</v>
      </c>
      <c r="P7" s="452">
        <f t="shared" si="0"/>
        <v>11666.666666666666</v>
      </c>
      <c r="Q7" s="452">
        <f>R3/12</f>
        <v>14000</v>
      </c>
      <c r="R7" s="452">
        <f>R3/12</f>
        <v>14000</v>
      </c>
      <c r="S7" s="452">
        <f>R3/12</f>
        <v>14000</v>
      </c>
      <c r="T7" s="452">
        <f>R3/12</f>
        <v>14000</v>
      </c>
      <c r="U7" s="452">
        <f>R3/12</f>
        <v>14000</v>
      </c>
      <c r="V7" s="452">
        <f>R3/12</f>
        <v>14000</v>
      </c>
      <c r="W7" s="452">
        <f>R3/12</f>
        <v>14000</v>
      </c>
      <c r="X7" s="452">
        <f>R3/12</f>
        <v>14000</v>
      </c>
      <c r="Y7" s="452">
        <f>R3/12</f>
        <v>14000</v>
      </c>
      <c r="Z7" s="452">
        <f>R3/12</f>
        <v>14000</v>
      </c>
      <c r="AA7" s="452">
        <f>R3/12</f>
        <v>14000</v>
      </c>
      <c r="AB7" s="452">
        <f>R3/12</f>
        <v>14000</v>
      </c>
      <c r="AC7" s="452">
        <f>AD3/12</f>
        <v>9800</v>
      </c>
      <c r="AD7" s="452">
        <f>AD3/12</f>
        <v>9800</v>
      </c>
      <c r="AE7" s="452">
        <f>AD3/12</f>
        <v>9800</v>
      </c>
      <c r="AF7" s="452">
        <f>AD3/12</f>
        <v>9800</v>
      </c>
      <c r="AG7" s="452">
        <f>AD3/12</f>
        <v>9800</v>
      </c>
      <c r="AH7" s="452">
        <f>AD3/12</f>
        <v>9800</v>
      </c>
      <c r="AI7" s="452">
        <f>AD3/12</f>
        <v>9800</v>
      </c>
      <c r="AJ7" s="452">
        <f>AD3/12</f>
        <v>9800</v>
      </c>
      <c r="AK7" s="452">
        <f>AD3/12</f>
        <v>9800</v>
      </c>
      <c r="AL7" s="452">
        <f>AD3/12</f>
        <v>9800</v>
      </c>
      <c r="AM7" s="452">
        <f>AD3/12</f>
        <v>9800</v>
      </c>
      <c r="AN7" s="452">
        <f>AD3/12</f>
        <v>9800</v>
      </c>
    </row>
    <row r="8" spans="1:40" ht="15" customHeight="1">
      <c r="B8" s="452"/>
      <c r="C8" s="452"/>
      <c r="D8" s="452"/>
      <c r="E8" s="452"/>
      <c r="F8" s="452"/>
      <c r="G8" s="452"/>
      <c r="H8" s="452"/>
      <c r="Q8" s="452"/>
      <c r="R8" s="452"/>
      <c r="S8" s="452"/>
      <c r="T8" s="452"/>
      <c r="AC8" s="452"/>
      <c r="AD8" s="452"/>
      <c r="AE8" s="452"/>
      <c r="AF8" s="452"/>
    </row>
    <row r="9" spans="1:40" ht="15" customHeight="1">
      <c r="B9" s="460" t="s">
        <v>220</v>
      </c>
      <c r="C9" s="450">
        <v>8502.86</v>
      </c>
      <c r="D9" s="452"/>
      <c r="E9" s="452"/>
      <c r="F9" s="452"/>
      <c r="G9" s="452"/>
      <c r="H9" s="452"/>
      <c r="Q9" s="452"/>
      <c r="R9" s="452"/>
      <c r="S9" s="452"/>
      <c r="T9" s="452"/>
      <c r="AC9" s="452"/>
      <c r="AD9" s="452"/>
      <c r="AE9" s="452"/>
      <c r="AF9" s="452"/>
    </row>
    <row r="10" spans="1:40" ht="15" customHeight="1">
      <c r="B10" s="461" t="s">
        <v>635</v>
      </c>
      <c r="C10" s="462">
        <v>0.3</v>
      </c>
      <c r="D10" s="792" t="s">
        <v>893</v>
      </c>
      <c r="E10" s="463">
        <f>($C$10*$C$9*E7)-500</f>
        <v>29759510</v>
      </c>
      <c r="F10" s="463">
        <f t="shared" ref="F10:AB10" si="1">($C$10*$C$9*F7)-500</f>
        <v>29759510</v>
      </c>
      <c r="G10" s="463">
        <f t="shared" si="1"/>
        <v>29759510</v>
      </c>
      <c r="H10" s="463">
        <f t="shared" si="1"/>
        <v>29759510</v>
      </c>
      <c r="I10" s="463">
        <f t="shared" si="1"/>
        <v>29759510</v>
      </c>
      <c r="J10" s="463">
        <f t="shared" si="1"/>
        <v>29759510</v>
      </c>
      <c r="K10" s="463">
        <f t="shared" si="1"/>
        <v>29759510</v>
      </c>
      <c r="L10" s="463">
        <f t="shared" si="1"/>
        <v>29759510</v>
      </c>
      <c r="M10" s="463">
        <f t="shared" si="1"/>
        <v>29759510</v>
      </c>
      <c r="N10" s="463">
        <f t="shared" si="1"/>
        <v>29759510</v>
      </c>
      <c r="O10" s="463">
        <f t="shared" si="1"/>
        <v>29759510</v>
      </c>
      <c r="P10" s="463">
        <f t="shared" si="1"/>
        <v>29759510</v>
      </c>
      <c r="Q10" s="463">
        <f t="shared" si="1"/>
        <v>35711512</v>
      </c>
      <c r="R10" s="463">
        <f t="shared" si="1"/>
        <v>35711512</v>
      </c>
      <c r="S10" s="463">
        <f t="shared" si="1"/>
        <v>35711512</v>
      </c>
      <c r="T10" s="463">
        <f t="shared" si="1"/>
        <v>35711512</v>
      </c>
      <c r="U10" s="463">
        <f t="shared" si="1"/>
        <v>35711512</v>
      </c>
      <c r="V10" s="463">
        <f t="shared" si="1"/>
        <v>35711512</v>
      </c>
      <c r="W10" s="463">
        <f t="shared" si="1"/>
        <v>35711512</v>
      </c>
      <c r="X10" s="463">
        <f t="shared" si="1"/>
        <v>35711512</v>
      </c>
      <c r="Y10" s="463">
        <f t="shared" si="1"/>
        <v>35711512</v>
      </c>
      <c r="Z10" s="463">
        <f t="shared" si="1"/>
        <v>35711512</v>
      </c>
      <c r="AA10" s="463">
        <f t="shared" si="1"/>
        <v>35711512</v>
      </c>
      <c r="AB10" s="463">
        <f t="shared" si="1"/>
        <v>35711512</v>
      </c>
      <c r="AC10" s="463" t="s">
        <v>402</v>
      </c>
    </row>
    <row r="11" spans="1:40" ht="15" customHeight="1">
      <c r="B11" s="461" t="s">
        <v>636</v>
      </c>
      <c r="C11" s="462">
        <v>0.7</v>
      </c>
      <c r="D11" s="452"/>
      <c r="E11" s="463"/>
      <c r="F11" s="463">
        <f t="shared" ref="F11:P11" si="2">$C$11*$C$9*F7</f>
        <v>69440023.333333328</v>
      </c>
      <c r="G11" s="463">
        <f t="shared" si="2"/>
        <v>69440023.333333328</v>
      </c>
      <c r="H11" s="463">
        <f t="shared" si="2"/>
        <v>69440023.333333328</v>
      </c>
      <c r="I11" s="463">
        <f t="shared" si="2"/>
        <v>69440023.333333328</v>
      </c>
      <c r="J11" s="463">
        <f t="shared" si="2"/>
        <v>69440023.333333328</v>
      </c>
      <c r="K11" s="463">
        <f t="shared" si="2"/>
        <v>69440023.333333328</v>
      </c>
      <c r="L11" s="463">
        <f t="shared" si="2"/>
        <v>69440023.333333328</v>
      </c>
      <c r="M11" s="463">
        <f t="shared" si="2"/>
        <v>69440023.333333328</v>
      </c>
      <c r="N11" s="463">
        <f t="shared" si="2"/>
        <v>69440023.333333328</v>
      </c>
      <c r="O11" s="463">
        <f t="shared" si="2"/>
        <v>69440023.333333328</v>
      </c>
      <c r="P11" s="463">
        <f t="shared" si="2"/>
        <v>69440023.333333328</v>
      </c>
      <c r="Q11" s="463">
        <f>$C$11*R4*Q7</f>
        <v>64810633.999999993</v>
      </c>
      <c r="R11" s="463">
        <f>$C$11*R4*R7</f>
        <v>64810633.999999993</v>
      </c>
      <c r="S11" s="463">
        <f>$C$11*R4*S7</f>
        <v>64810633.999999993</v>
      </c>
      <c r="T11" s="463">
        <f>$C$11*R4*T7</f>
        <v>64810633.999999993</v>
      </c>
      <c r="U11" s="463">
        <f>$C$11*R4*U7</f>
        <v>64810633.999999993</v>
      </c>
      <c r="V11" s="463">
        <f>$C$11*R4*V7</f>
        <v>64810633.999999993</v>
      </c>
      <c r="W11" s="463">
        <f>$C$11*R4*W7</f>
        <v>64810633.999999993</v>
      </c>
      <c r="X11" s="463">
        <f>$C$11*R4*X7</f>
        <v>64810633.999999993</v>
      </c>
      <c r="Y11" s="463">
        <f>$C$11*R4*Y7</f>
        <v>64810633.999999993</v>
      </c>
      <c r="Z11" s="463">
        <f>$C$11*R4*Z7</f>
        <v>64810633.999999993</v>
      </c>
      <c r="AA11" s="463">
        <f>$C$11*R4*AA7</f>
        <v>64810633.999999993</v>
      </c>
      <c r="AB11" s="463">
        <f>$C$11*R4*AB7</f>
        <v>64810633.999999993</v>
      </c>
      <c r="AC11" s="463">
        <v>0</v>
      </c>
      <c r="AD11" s="463">
        <f>($C$10*$C$9*AD7)</f>
        <v>24998408.400000002</v>
      </c>
      <c r="AE11" s="463">
        <f t="shared" ref="AE11:AN11" si="3">($C$10*$C$9*AE7)</f>
        <v>24998408.400000002</v>
      </c>
      <c r="AF11" s="463">
        <f t="shared" si="3"/>
        <v>24998408.400000002</v>
      </c>
      <c r="AG11" s="463">
        <f t="shared" si="3"/>
        <v>24998408.400000002</v>
      </c>
      <c r="AH11" s="463">
        <f t="shared" si="3"/>
        <v>24998408.400000002</v>
      </c>
      <c r="AI11" s="463">
        <f t="shared" si="3"/>
        <v>24998408.400000002</v>
      </c>
      <c r="AJ11" s="463">
        <f t="shared" si="3"/>
        <v>24998408.400000002</v>
      </c>
      <c r="AK11" s="463">
        <f t="shared" si="3"/>
        <v>24998408.400000002</v>
      </c>
      <c r="AL11" s="463">
        <f t="shared" si="3"/>
        <v>24998408.400000002</v>
      </c>
      <c r="AM11" s="463">
        <f t="shared" si="3"/>
        <v>24998408.400000002</v>
      </c>
      <c r="AN11" s="463">
        <f t="shared" si="3"/>
        <v>24998408.400000002</v>
      </c>
    </row>
    <row r="12" spans="1:40" ht="15" customHeight="1">
      <c r="B12" s="461" t="s">
        <v>637</v>
      </c>
      <c r="C12" s="462">
        <v>0</v>
      </c>
      <c r="D12" s="452"/>
      <c r="E12" s="463"/>
      <c r="F12" s="463"/>
      <c r="G12" s="463">
        <f>$C12*$C$9*G7</f>
        <v>0</v>
      </c>
      <c r="H12" s="463">
        <f t="shared" ref="H12:P12" si="4">$C12*$C$9*H7</f>
        <v>0</v>
      </c>
      <c r="I12" s="463">
        <f t="shared" si="4"/>
        <v>0</v>
      </c>
      <c r="J12" s="463">
        <f t="shared" si="4"/>
        <v>0</v>
      </c>
      <c r="K12" s="463">
        <f t="shared" si="4"/>
        <v>0</v>
      </c>
      <c r="L12" s="463">
        <f t="shared" si="4"/>
        <v>0</v>
      </c>
      <c r="M12" s="463">
        <f t="shared" si="4"/>
        <v>0</v>
      </c>
      <c r="N12" s="463">
        <f t="shared" si="4"/>
        <v>0</v>
      </c>
      <c r="O12" s="463">
        <f t="shared" si="4"/>
        <v>0</v>
      </c>
      <c r="P12" s="463">
        <f t="shared" si="4"/>
        <v>0</v>
      </c>
      <c r="Q12" s="463">
        <f>$C12*R4*Q7</f>
        <v>0</v>
      </c>
      <c r="R12" s="463">
        <f>$C12*R4*R7</f>
        <v>0</v>
      </c>
      <c r="S12" s="463">
        <f>$C12*R4*S7</f>
        <v>0</v>
      </c>
      <c r="T12" s="463">
        <f>$C12*R4*T7</f>
        <v>0</v>
      </c>
      <c r="U12" s="463">
        <f>$C12*R4*U7</f>
        <v>0</v>
      </c>
      <c r="V12" s="463">
        <f>$C12*R4*V7</f>
        <v>0</v>
      </c>
      <c r="W12" s="463">
        <f>$C12*R4*W7</f>
        <v>0</v>
      </c>
      <c r="X12" s="463">
        <f>$C12*R4*X7</f>
        <v>0</v>
      </c>
      <c r="Y12" s="463">
        <f>$C12*R4*Y7</f>
        <v>0</v>
      </c>
      <c r="Z12" s="463">
        <f>$C12*R4*Z7</f>
        <v>0</v>
      </c>
      <c r="AA12" s="463">
        <f>$C12*R4*AA7</f>
        <v>0</v>
      </c>
      <c r="AB12" s="463">
        <f>$C12*R4*AB7</f>
        <v>0</v>
      </c>
      <c r="AC12" s="463">
        <f>$C12*AD4*AC7</f>
        <v>0</v>
      </c>
      <c r="AD12" s="463">
        <f>$C12*AD4*AD7</f>
        <v>0</v>
      </c>
      <c r="AE12" s="463">
        <f>$C$11*AD4*AE7</f>
        <v>60489902.200000003</v>
      </c>
      <c r="AF12" s="463">
        <f>$C$11*AD4*AF7</f>
        <v>60489902.200000003</v>
      </c>
      <c r="AG12" s="463">
        <f>$C$11*AD4*AG7</f>
        <v>60489902.200000003</v>
      </c>
      <c r="AH12" s="463">
        <f>$C$11*AD4*AH7</f>
        <v>60489902.200000003</v>
      </c>
      <c r="AI12" s="463">
        <f>$C$11*AD4*AI7</f>
        <v>60489902.200000003</v>
      </c>
      <c r="AJ12" s="463">
        <f>$C$11*AD4*AJ7</f>
        <v>60489902.200000003</v>
      </c>
      <c r="AK12" s="463">
        <f>$C$11*AD4*AK7</f>
        <v>60489902.200000003</v>
      </c>
      <c r="AL12" s="463">
        <f>$C$11*AD4*AL7</f>
        <v>60489902.200000003</v>
      </c>
      <c r="AM12" s="463">
        <f>$C$11*AD4*AM7</f>
        <v>60489902.200000003</v>
      </c>
      <c r="AN12" s="463">
        <f>$C$11*AD4*AN7</f>
        <v>60489902.200000003</v>
      </c>
    </row>
    <row r="13" spans="1:40" ht="15" customHeight="1">
      <c r="B13" s="464" t="s">
        <v>638</v>
      </c>
      <c r="C13" s="465">
        <v>0</v>
      </c>
      <c r="D13" s="466"/>
      <c r="E13" s="467"/>
      <c r="F13" s="467"/>
      <c r="G13" s="467"/>
      <c r="H13" s="467">
        <f t="shared" ref="H13:P13" si="5">$C$13*$C$9*H7</f>
        <v>0</v>
      </c>
      <c r="I13" s="467">
        <f t="shared" si="5"/>
        <v>0</v>
      </c>
      <c r="J13" s="467">
        <f t="shared" si="5"/>
        <v>0</v>
      </c>
      <c r="K13" s="467">
        <f t="shared" si="5"/>
        <v>0</v>
      </c>
      <c r="L13" s="467">
        <f t="shared" si="5"/>
        <v>0</v>
      </c>
      <c r="M13" s="467">
        <f t="shared" si="5"/>
        <v>0</v>
      </c>
      <c r="N13" s="467">
        <f t="shared" si="5"/>
        <v>0</v>
      </c>
      <c r="O13" s="467">
        <f t="shared" si="5"/>
        <v>0</v>
      </c>
      <c r="P13" s="467">
        <f t="shared" si="5"/>
        <v>0</v>
      </c>
      <c r="Q13" s="467">
        <f>$C$13*R4*Q7</f>
        <v>0</v>
      </c>
      <c r="R13" s="467">
        <f>$C$13*R4*R7</f>
        <v>0</v>
      </c>
      <c r="S13" s="467">
        <f>$C$13*R4*S7</f>
        <v>0</v>
      </c>
      <c r="T13" s="467">
        <f>$C$13*R4*T7</f>
        <v>0</v>
      </c>
      <c r="U13" s="467">
        <f>$C$13*R4*U7</f>
        <v>0</v>
      </c>
      <c r="V13" s="467">
        <f>$C$13*R4*V7</f>
        <v>0</v>
      </c>
      <c r="W13" s="467">
        <f>$C$13*R4*W7</f>
        <v>0</v>
      </c>
      <c r="X13" s="467">
        <f>$C$13*R4*X7</f>
        <v>0</v>
      </c>
      <c r="Y13" s="467">
        <f>$C$13*R4*Y7</f>
        <v>0</v>
      </c>
      <c r="Z13" s="467">
        <f>$C$13*R4*Z7</f>
        <v>0</v>
      </c>
      <c r="AA13" s="467">
        <f>$C$13*R4*AA7</f>
        <v>0</v>
      </c>
      <c r="AB13" s="467">
        <f>$C$13*R4*AB7</f>
        <v>0</v>
      </c>
      <c r="AC13" s="467">
        <f>$C$13*AD4*AC7</f>
        <v>0</v>
      </c>
      <c r="AD13" s="467">
        <f>$C$13*AD4*AD7</f>
        <v>0</v>
      </c>
      <c r="AE13" s="467">
        <f>$C$13*AD4*AE7</f>
        <v>0</v>
      </c>
      <c r="AF13" s="467">
        <f>$C$13*AD4*AF7</f>
        <v>0</v>
      </c>
      <c r="AG13" s="467">
        <f>$C$13*AD4*AG7</f>
        <v>0</v>
      </c>
      <c r="AH13" s="467">
        <f>$C$13*AD4*AH7</f>
        <v>0</v>
      </c>
      <c r="AI13" s="467">
        <f>$C$13*AD4*AI7</f>
        <v>0</v>
      </c>
      <c r="AJ13" s="467">
        <f>$C$13*AD4*AJ7</f>
        <v>0</v>
      </c>
      <c r="AK13" s="467">
        <f>$C$13*AD4*AK7</f>
        <v>0</v>
      </c>
      <c r="AL13" s="467">
        <f>$C$13*AD4*AL7</f>
        <v>0</v>
      </c>
      <c r="AM13" s="467">
        <f>$C$13*AD4*AM7</f>
        <v>0</v>
      </c>
      <c r="AN13" s="467">
        <f>$C$13*AD4*AN7</f>
        <v>0</v>
      </c>
    </row>
    <row r="14" spans="1:40" ht="15" customHeight="1">
      <c r="B14" s="461"/>
      <c r="C14" s="468">
        <f>SUM(C10:C13)</f>
        <v>1</v>
      </c>
      <c r="D14" s="452"/>
      <c r="E14" s="463">
        <f t="shared" ref="E14:AB14" si="6">SUM(E10:E13)</f>
        <v>29759510</v>
      </c>
      <c r="F14" s="463">
        <f t="shared" si="6"/>
        <v>99199533.333333328</v>
      </c>
      <c r="G14" s="463">
        <f t="shared" si="6"/>
        <v>99199533.333333328</v>
      </c>
      <c r="H14" s="463">
        <f t="shared" si="6"/>
        <v>99199533.333333328</v>
      </c>
      <c r="I14" s="463">
        <f t="shared" si="6"/>
        <v>99199533.333333328</v>
      </c>
      <c r="J14" s="463">
        <f t="shared" si="6"/>
        <v>99199533.333333328</v>
      </c>
      <c r="K14" s="463">
        <f t="shared" si="6"/>
        <v>99199533.333333328</v>
      </c>
      <c r="L14" s="463">
        <f t="shared" si="6"/>
        <v>99199533.333333328</v>
      </c>
      <c r="M14" s="463">
        <f t="shared" si="6"/>
        <v>99199533.333333328</v>
      </c>
      <c r="N14" s="463">
        <f t="shared" si="6"/>
        <v>99199533.333333328</v>
      </c>
      <c r="O14" s="463">
        <f t="shared" si="6"/>
        <v>99199533.333333328</v>
      </c>
      <c r="P14" s="463">
        <f t="shared" si="6"/>
        <v>99199533.333333328</v>
      </c>
      <c r="Q14" s="463">
        <f t="shared" si="6"/>
        <v>100522146</v>
      </c>
      <c r="R14" s="463">
        <f t="shared" si="6"/>
        <v>100522146</v>
      </c>
      <c r="S14" s="463">
        <f t="shared" si="6"/>
        <v>100522146</v>
      </c>
      <c r="T14" s="463">
        <f t="shared" si="6"/>
        <v>100522146</v>
      </c>
      <c r="U14" s="463">
        <f t="shared" si="6"/>
        <v>100522146</v>
      </c>
      <c r="V14" s="463">
        <f t="shared" si="6"/>
        <v>100522146</v>
      </c>
      <c r="W14" s="463">
        <f t="shared" si="6"/>
        <v>100522146</v>
      </c>
      <c r="X14" s="463">
        <f t="shared" si="6"/>
        <v>100522146</v>
      </c>
      <c r="Y14" s="463">
        <f t="shared" si="6"/>
        <v>100522146</v>
      </c>
      <c r="Z14" s="463">
        <f t="shared" si="6"/>
        <v>100522146</v>
      </c>
      <c r="AA14" s="463">
        <f t="shared" si="6"/>
        <v>100522146</v>
      </c>
      <c r="AB14" s="463">
        <f t="shared" si="6"/>
        <v>100522146</v>
      </c>
      <c r="AC14" s="463">
        <f>SUM(AC10:AC13)</f>
        <v>0</v>
      </c>
      <c r="AD14" s="463">
        <f t="shared" ref="AD14:AN14" si="7">SUM(AD11:AD13)</f>
        <v>24998408.400000002</v>
      </c>
      <c r="AE14" s="463">
        <f t="shared" si="7"/>
        <v>85488310.600000009</v>
      </c>
      <c r="AF14" s="463">
        <f t="shared" si="7"/>
        <v>85488310.600000009</v>
      </c>
      <c r="AG14" s="463">
        <f t="shared" si="7"/>
        <v>85488310.600000009</v>
      </c>
      <c r="AH14" s="463">
        <f t="shared" si="7"/>
        <v>85488310.600000009</v>
      </c>
      <c r="AI14" s="463">
        <f t="shared" si="7"/>
        <v>85488310.600000009</v>
      </c>
      <c r="AJ14" s="463">
        <f t="shared" si="7"/>
        <v>85488310.600000009</v>
      </c>
      <c r="AK14" s="463">
        <f t="shared" si="7"/>
        <v>85488310.600000009</v>
      </c>
      <c r="AL14" s="463">
        <f t="shared" si="7"/>
        <v>85488310.600000009</v>
      </c>
      <c r="AM14" s="463">
        <f t="shared" si="7"/>
        <v>85488310.600000009</v>
      </c>
      <c r="AN14" s="463">
        <f t="shared" si="7"/>
        <v>85488310.600000009</v>
      </c>
    </row>
    <row r="15" spans="1:40" ht="15" customHeight="1">
      <c r="B15" s="453" t="s">
        <v>639</v>
      </c>
      <c r="C15" s="452"/>
      <c r="D15" s="452"/>
      <c r="E15" s="452"/>
      <c r="F15" s="452"/>
      <c r="G15" s="452"/>
      <c r="H15" s="452"/>
      <c r="J15" s="469"/>
      <c r="K15" s="469"/>
      <c r="L15" s="469"/>
      <c r="M15" s="469"/>
      <c r="N15" s="469"/>
      <c r="Q15" s="452"/>
      <c r="R15" s="452"/>
      <c r="S15" s="452"/>
      <c r="T15" s="452"/>
      <c r="V15" s="469"/>
      <c r="W15" s="469"/>
      <c r="X15" s="469"/>
      <c r="Y15" s="469"/>
      <c r="Z15" s="469"/>
      <c r="AC15" s="452"/>
      <c r="AD15" s="452"/>
      <c r="AE15" s="452"/>
      <c r="AF15" s="452"/>
      <c r="AH15" s="469"/>
      <c r="AI15" s="469"/>
      <c r="AJ15" s="469"/>
      <c r="AK15" s="469"/>
      <c r="AL15" s="469"/>
    </row>
    <row r="16" spans="1:40" ht="15" customHeight="1">
      <c r="B16" s="630" t="s">
        <v>640</v>
      </c>
      <c r="C16" s="470">
        <v>0</v>
      </c>
      <c r="D16" s="452"/>
      <c r="E16" s="471">
        <f>-E14*(0.65)*$C$16</f>
        <v>0</v>
      </c>
      <c r="F16" s="471">
        <f>-F14*$C$16</f>
        <v>0</v>
      </c>
      <c r="G16" s="471">
        <f t="shared" ref="G16:P16" si="8">-G14*(0.65)*$C$16</f>
        <v>0</v>
      </c>
      <c r="H16" s="471">
        <f t="shared" si="8"/>
        <v>0</v>
      </c>
      <c r="I16" s="471">
        <f t="shared" si="8"/>
        <v>0</v>
      </c>
      <c r="J16" s="471">
        <f t="shared" si="8"/>
        <v>0</v>
      </c>
      <c r="K16" s="471">
        <f t="shared" si="8"/>
        <v>0</v>
      </c>
      <c r="L16" s="471">
        <f t="shared" si="8"/>
        <v>0</v>
      </c>
      <c r="M16" s="471">
        <f t="shared" si="8"/>
        <v>0</v>
      </c>
      <c r="N16" s="471">
        <f t="shared" si="8"/>
        <v>0</v>
      </c>
      <c r="O16" s="471">
        <f t="shared" si="8"/>
        <v>0</v>
      </c>
      <c r="P16" s="471">
        <f t="shared" si="8"/>
        <v>0</v>
      </c>
      <c r="Q16" s="471">
        <f>-Q14*(0.65)*$C$16</f>
        <v>0</v>
      </c>
      <c r="R16" s="471">
        <f t="shared" ref="R16:AB16" si="9">-R14*(0.65)*$C$16</f>
        <v>0</v>
      </c>
      <c r="S16" s="471">
        <f t="shared" si="9"/>
        <v>0</v>
      </c>
      <c r="T16" s="471">
        <f t="shared" si="9"/>
        <v>0</v>
      </c>
      <c r="U16" s="471">
        <f t="shared" si="9"/>
        <v>0</v>
      </c>
      <c r="V16" s="471">
        <f t="shared" si="9"/>
        <v>0</v>
      </c>
      <c r="W16" s="471">
        <f t="shared" si="9"/>
        <v>0</v>
      </c>
      <c r="X16" s="471">
        <f t="shared" si="9"/>
        <v>0</v>
      </c>
      <c r="Y16" s="471">
        <f t="shared" si="9"/>
        <v>0</v>
      </c>
      <c r="Z16" s="471">
        <f t="shared" si="9"/>
        <v>0</v>
      </c>
      <c r="AA16" s="471">
        <f t="shared" si="9"/>
        <v>0</v>
      </c>
      <c r="AB16" s="471">
        <f t="shared" si="9"/>
        <v>0</v>
      </c>
      <c r="AC16" s="471">
        <f>-AC14*(0.65)*$C$16</f>
        <v>0</v>
      </c>
      <c r="AD16" s="471">
        <f t="shared" ref="AD16:AN16" si="10">-AD14*(0.65)*$C$16</f>
        <v>0</v>
      </c>
      <c r="AE16" s="471">
        <f t="shared" si="10"/>
        <v>0</v>
      </c>
      <c r="AF16" s="471">
        <f t="shared" si="10"/>
        <v>0</v>
      </c>
      <c r="AG16" s="471">
        <f t="shared" si="10"/>
        <v>0</v>
      </c>
      <c r="AH16" s="471">
        <f t="shared" si="10"/>
        <v>0</v>
      </c>
      <c r="AI16" s="471">
        <f t="shared" si="10"/>
        <v>0</v>
      </c>
      <c r="AJ16" s="471">
        <f t="shared" si="10"/>
        <v>0</v>
      </c>
      <c r="AK16" s="471">
        <f t="shared" si="10"/>
        <v>0</v>
      </c>
      <c r="AL16" s="471">
        <f t="shared" si="10"/>
        <v>0</v>
      </c>
      <c r="AM16" s="471">
        <f t="shared" si="10"/>
        <v>0</v>
      </c>
      <c r="AN16" s="471">
        <f t="shared" si="10"/>
        <v>0</v>
      </c>
    </row>
    <row r="17" spans="2:40" ht="15" customHeight="1">
      <c r="B17" s="629" t="s">
        <v>442</v>
      </c>
      <c r="C17" s="473">
        <v>0</v>
      </c>
      <c r="D17" s="472"/>
      <c r="E17" s="474">
        <f>-E14*(0.35)*$C$17</f>
        <v>0</v>
      </c>
      <c r="F17" s="474">
        <f>-F14*$C$17</f>
        <v>0</v>
      </c>
      <c r="G17" s="474">
        <f t="shared" ref="G17:P17" si="11">-G14*(0.35)*$C$17</f>
        <v>0</v>
      </c>
      <c r="H17" s="474">
        <f t="shared" si="11"/>
        <v>0</v>
      </c>
      <c r="I17" s="474">
        <f t="shared" si="11"/>
        <v>0</v>
      </c>
      <c r="J17" s="474">
        <f t="shared" si="11"/>
        <v>0</v>
      </c>
      <c r="K17" s="474">
        <f t="shared" si="11"/>
        <v>0</v>
      </c>
      <c r="L17" s="474">
        <f t="shared" si="11"/>
        <v>0</v>
      </c>
      <c r="M17" s="474">
        <f t="shared" si="11"/>
        <v>0</v>
      </c>
      <c r="N17" s="474">
        <f t="shared" si="11"/>
        <v>0</v>
      </c>
      <c r="O17" s="474">
        <f t="shared" si="11"/>
        <v>0</v>
      </c>
      <c r="P17" s="474">
        <f t="shared" si="11"/>
        <v>0</v>
      </c>
      <c r="Q17" s="474">
        <f>-Q14*(0.35)*$C$17</f>
        <v>0</v>
      </c>
      <c r="R17" s="474">
        <f t="shared" ref="R17:AB17" si="12">-R14*(0.35)*$C$17</f>
        <v>0</v>
      </c>
      <c r="S17" s="474">
        <f t="shared" si="12"/>
        <v>0</v>
      </c>
      <c r="T17" s="474">
        <f t="shared" si="12"/>
        <v>0</v>
      </c>
      <c r="U17" s="474">
        <f t="shared" si="12"/>
        <v>0</v>
      </c>
      <c r="V17" s="474">
        <f t="shared" si="12"/>
        <v>0</v>
      </c>
      <c r="W17" s="474">
        <f t="shared" si="12"/>
        <v>0</v>
      </c>
      <c r="X17" s="474">
        <f t="shared" si="12"/>
        <v>0</v>
      </c>
      <c r="Y17" s="474">
        <f t="shared" si="12"/>
        <v>0</v>
      </c>
      <c r="Z17" s="474">
        <f t="shared" si="12"/>
        <v>0</v>
      </c>
      <c r="AA17" s="474">
        <f t="shared" si="12"/>
        <v>0</v>
      </c>
      <c r="AB17" s="474">
        <f t="shared" si="12"/>
        <v>0</v>
      </c>
      <c r="AC17" s="474">
        <f>-AC14*(0.35)*$C$17</f>
        <v>0</v>
      </c>
      <c r="AD17" s="474">
        <f t="shared" ref="AD17:AN17" si="13">-AD14*(0.35)*$C$17</f>
        <v>0</v>
      </c>
      <c r="AE17" s="474">
        <f t="shared" si="13"/>
        <v>0</v>
      </c>
      <c r="AF17" s="474">
        <f t="shared" si="13"/>
        <v>0</v>
      </c>
      <c r="AG17" s="474">
        <f t="shared" si="13"/>
        <v>0</v>
      </c>
      <c r="AH17" s="474">
        <f t="shared" si="13"/>
        <v>0</v>
      </c>
      <c r="AI17" s="474">
        <f t="shared" si="13"/>
        <v>0</v>
      </c>
      <c r="AJ17" s="474">
        <f t="shared" si="13"/>
        <v>0</v>
      </c>
      <c r="AK17" s="474">
        <f t="shared" si="13"/>
        <v>0</v>
      </c>
      <c r="AL17" s="474">
        <f t="shared" si="13"/>
        <v>0</v>
      </c>
      <c r="AM17" s="474">
        <f t="shared" si="13"/>
        <v>0</v>
      </c>
      <c r="AN17" s="474">
        <f t="shared" si="13"/>
        <v>0</v>
      </c>
    </row>
    <row r="18" spans="2:40" ht="15" customHeight="1">
      <c r="B18" s="452"/>
      <c r="C18" s="452"/>
      <c r="D18" s="452"/>
      <c r="E18" s="463">
        <f>SUM(E14:E17)</f>
        <v>29759510</v>
      </c>
      <c r="F18" s="463">
        <f t="shared" ref="F18:P18" si="14">SUM(F14:F17)</f>
        <v>99199533.333333328</v>
      </c>
      <c r="G18" s="463">
        <f t="shared" si="14"/>
        <v>99199533.333333328</v>
      </c>
      <c r="H18" s="463">
        <f t="shared" si="14"/>
        <v>99199533.333333328</v>
      </c>
      <c r="I18" s="463">
        <f t="shared" si="14"/>
        <v>99199533.333333328</v>
      </c>
      <c r="J18" s="463">
        <f t="shared" si="14"/>
        <v>99199533.333333328</v>
      </c>
      <c r="K18" s="463">
        <f t="shared" si="14"/>
        <v>99199533.333333328</v>
      </c>
      <c r="L18" s="463">
        <f t="shared" si="14"/>
        <v>99199533.333333328</v>
      </c>
      <c r="M18" s="463">
        <f t="shared" si="14"/>
        <v>99199533.333333328</v>
      </c>
      <c r="N18" s="463">
        <f t="shared" si="14"/>
        <v>99199533.333333328</v>
      </c>
      <c r="O18" s="463">
        <f t="shared" si="14"/>
        <v>99199533.333333328</v>
      </c>
      <c r="P18" s="463">
        <f t="shared" si="14"/>
        <v>99199533.333333328</v>
      </c>
      <c r="Q18" s="463">
        <f>SUM(Q14:Q17)</f>
        <v>100522146</v>
      </c>
      <c r="R18" s="463">
        <f t="shared" ref="R18:AB18" si="15">SUM(R14:R17)</f>
        <v>100522146</v>
      </c>
      <c r="S18" s="463">
        <f t="shared" si="15"/>
        <v>100522146</v>
      </c>
      <c r="T18" s="463">
        <f t="shared" si="15"/>
        <v>100522146</v>
      </c>
      <c r="U18" s="463">
        <f t="shared" si="15"/>
        <v>100522146</v>
      </c>
      <c r="V18" s="463">
        <f t="shared" si="15"/>
        <v>100522146</v>
      </c>
      <c r="W18" s="463">
        <f t="shared" si="15"/>
        <v>100522146</v>
      </c>
      <c r="X18" s="463">
        <f t="shared" si="15"/>
        <v>100522146</v>
      </c>
      <c r="Y18" s="463">
        <f t="shared" si="15"/>
        <v>100522146</v>
      </c>
      <c r="Z18" s="463">
        <f t="shared" si="15"/>
        <v>100522146</v>
      </c>
      <c r="AA18" s="463">
        <f t="shared" si="15"/>
        <v>100522146</v>
      </c>
      <c r="AB18" s="463">
        <f t="shared" si="15"/>
        <v>100522146</v>
      </c>
      <c r="AC18" s="463">
        <f>SUM(AC14:AC17)</f>
        <v>0</v>
      </c>
      <c r="AD18" s="463">
        <f t="shared" ref="AD18:AN18" si="16">SUM(AD14:AD17)</f>
        <v>24998408.400000002</v>
      </c>
      <c r="AE18" s="463">
        <f t="shared" si="16"/>
        <v>85488310.600000009</v>
      </c>
      <c r="AF18" s="463">
        <f t="shared" si="16"/>
        <v>85488310.600000009</v>
      </c>
      <c r="AG18" s="463">
        <f t="shared" si="16"/>
        <v>85488310.600000009</v>
      </c>
      <c r="AH18" s="463">
        <f t="shared" si="16"/>
        <v>85488310.600000009</v>
      </c>
      <c r="AI18" s="463">
        <f t="shared" si="16"/>
        <v>85488310.600000009</v>
      </c>
      <c r="AJ18" s="463">
        <f t="shared" si="16"/>
        <v>85488310.600000009</v>
      </c>
      <c r="AK18" s="463">
        <f t="shared" si="16"/>
        <v>85488310.600000009</v>
      </c>
      <c r="AL18" s="463">
        <f t="shared" si="16"/>
        <v>85488310.600000009</v>
      </c>
      <c r="AM18" s="463">
        <f t="shared" si="16"/>
        <v>85488310.600000009</v>
      </c>
      <c r="AN18" s="463">
        <f t="shared" si="16"/>
        <v>85488310.600000009</v>
      </c>
    </row>
    <row r="19" spans="2:40" ht="15" customHeight="1">
      <c r="B19" s="452"/>
      <c r="C19" s="452"/>
      <c r="D19" s="452"/>
      <c r="E19" s="452"/>
      <c r="F19" s="452"/>
      <c r="G19" s="452"/>
      <c r="H19" s="452"/>
      <c r="J19" s="469"/>
      <c r="K19" s="469"/>
      <c r="L19" s="469"/>
      <c r="M19" s="469"/>
      <c r="N19" s="469"/>
      <c r="Q19" s="452"/>
      <c r="R19" s="452"/>
      <c r="S19" s="452"/>
      <c r="T19" s="452"/>
      <c r="V19" s="469"/>
      <c r="W19" s="469"/>
      <c r="X19" s="469"/>
      <c r="Y19" s="469"/>
      <c r="Z19" s="469"/>
      <c r="AC19" s="452"/>
      <c r="AD19" s="452"/>
      <c r="AE19" s="452"/>
      <c r="AF19" s="452"/>
      <c r="AH19" s="469"/>
      <c r="AI19" s="469"/>
      <c r="AJ19" s="469"/>
      <c r="AK19" s="469"/>
      <c r="AL19" s="469"/>
    </row>
    <row r="20" spans="2:40" ht="15" customHeight="1">
      <c r="B20" s="452"/>
      <c r="C20" s="452"/>
      <c r="D20" s="452"/>
      <c r="E20" s="1727" t="s">
        <v>451</v>
      </c>
      <c r="F20" s="1727"/>
      <c r="G20" s="1727"/>
      <c r="H20" s="1727"/>
      <c r="I20" s="1727"/>
      <c r="J20" s="1727"/>
      <c r="K20" s="1727"/>
      <c r="L20" s="1727"/>
      <c r="M20" s="1727"/>
      <c r="N20" s="1727"/>
      <c r="O20" s="1727"/>
      <c r="P20" s="1727"/>
      <c r="Q20" s="1727" t="s">
        <v>632</v>
      </c>
      <c r="R20" s="1727"/>
      <c r="S20" s="1727"/>
      <c r="T20" s="1727"/>
      <c r="U20" s="1727"/>
      <c r="V20" s="1727"/>
      <c r="W20" s="1727"/>
      <c r="X20" s="1727"/>
      <c r="Y20" s="1727"/>
      <c r="Z20" s="1727"/>
      <c r="AA20" s="1727"/>
      <c r="AB20" s="1727"/>
      <c r="AC20" s="1727" t="s">
        <v>793</v>
      </c>
      <c r="AD20" s="1727"/>
      <c r="AE20" s="1727"/>
      <c r="AF20" s="1727"/>
      <c r="AG20" s="1727"/>
      <c r="AH20" s="1727"/>
      <c r="AI20" s="1727"/>
      <c r="AJ20" s="1727"/>
      <c r="AK20" s="1727"/>
      <c r="AL20" s="1727"/>
      <c r="AM20" s="1727"/>
      <c r="AN20" s="1727"/>
    </row>
    <row r="21" spans="2:40" ht="15" customHeight="1">
      <c r="B21" s="451" t="s">
        <v>451</v>
      </c>
      <c r="C21" s="452"/>
      <c r="D21" s="475">
        <v>0</v>
      </c>
      <c r="E21" s="475">
        <v>1</v>
      </c>
      <c r="F21" s="475">
        <v>2</v>
      </c>
      <c r="G21" s="475">
        <v>3</v>
      </c>
      <c r="H21" s="475">
        <v>4</v>
      </c>
      <c r="I21" s="475">
        <v>5</v>
      </c>
      <c r="J21" s="475">
        <v>6</v>
      </c>
      <c r="K21" s="475">
        <v>7</v>
      </c>
      <c r="L21" s="475">
        <v>8</v>
      </c>
      <c r="M21" s="475">
        <v>9</v>
      </c>
      <c r="N21" s="475">
        <v>10</v>
      </c>
      <c r="O21" s="475">
        <v>11</v>
      </c>
      <c r="P21" s="475">
        <v>12</v>
      </c>
      <c r="Q21" s="475">
        <v>13</v>
      </c>
      <c r="R21" s="475">
        <v>14</v>
      </c>
      <c r="S21" s="475">
        <v>15</v>
      </c>
      <c r="T21" s="475">
        <v>16</v>
      </c>
      <c r="U21" s="475">
        <v>17</v>
      </c>
      <c r="V21" s="475">
        <v>18</v>
      </c>
      <c r="W21" s="475">
        <v>19</v>
      </c>
      <c r="X21" s="475">
        <v>20</v>
      </c>
      <c r="Y21" s="475">
        <v>21</v>
      </c>
      <c r="Z21" s="475">
        <v>22</v>
      </c>
      <c r="AA21" s="475">
        <v>23</v>
      </c>
      <c r="AB21" s="475">
        <v>24</v>
      </c>
      <c r="AC21" s="475">
        <v>25</v>
      </c>
      <c r="AD21" s="475">
        <v>26</v>
      </c>
      <c r="AE21" s="475">
        <v>27</v>
      </c>
      <c r="AF21" s="475">
        <v>28</v>
      </c>
      <c r="AG21" s="475">
        <v>29</v>
      </c>
      <c r="AH21" s="475">
        <v>30</v>
      </c>
      <c r="AI21" s="475">
        <v>31</v>
      </c>
      <c r="AJ21" s="475">
        <v>32</v>
      </c>
      <c r="AK21" s="475">
        <v>33</v>
      </c>
      <c r="AL21" s="475">
        <v>34</v>
      </c>
      <c r="AM21" s="475">
        <v>35</v>
      </c>
      <c r="AN21" s="475">
        <v>36</v>
      </c>
    </row>
    <row r="22" spans="2:40" ht="15" customHeight="1">
      <c r="B22" s="476" t="s">
        <v>641</v>
      </c>
      <c r="C22" s="452"/>
      <c r="D22" s="452"/>
      <c r="E22" s="452"/>
      <c r="F22" s="452"/>
      <c r="G22" s="452"/>
      <c r="H22" s="452"/>
      <c r="J22" s="469"/>
      <c r="K22" s="469"/>
      <c r="L22" s="469"/>
      <c r="M22" s="469"/>
      <c r="N22" s="469"/>
      <c r="Q22" s="452"/>
      <c r="R22" s="452"/>
      <c r="S22" s="452"/>
      <c r="T22" s="452"/>
      <c r="V22" s="469"/>
      <c r="W22" s="469"/>
      <c r="X22" s="469"/>
      <c r="Y22" s="469"/>
      <c r="Z22" s="469"/>
      <c r="AC22" s="452"/>
      <c r="AD22" s="452"/>
      <c r="AE22" s="452"/>
      <c r="AF22" s="452"/>
      <c r="AH22" s="469"/>
      <c r="AI22" s="469"/>
      <c r="AJ22" s="469"/>
      <c r="AK22" s="469"/>
      <c r="AL22" s="469"/>
    </row>
    <row r="23" spans="2:40" ht="15" customHeight="1">
      <c r="B23" s="452" t="s">
        <v>184</v>
      </c>
      <c r="C23" s="452"/>
      <c r="D23" s="452"/>
      <c r="E23" s="463">
        <f>E18*1</f>
        <v>29759510</v>
      </c>
      <c r="F23" s="463">
        <f t="shared" ref="F23:AB23" si="17">F18*1</f>
        <v>99199533.333333328</v>
      </c>
      <c r="G23" s="463">
        <f t="shared" si="17"/>
        <v>99199533.333333328</v>
      </c>
      <c r="H23" s="463">
        <f t="shared" si="17"/>
        <v>99199533.333333328</v>
      </c>
      <c r="I23" s="463">
        <f t="shared" si="17"/>
        <v>99199533.333333328</v>
      </c>
      <c r="J23" s="463">
        <f t="shared" si="17"/>
        <v>99199533.333333328</v>
      </c>
      <c r="K23" s="463">
        <f t="shared" si="17"/>
        <v>99199533.333333328</v>
      </c>
      <c r="L23" s="463">
        <f t="shared" si="17"/>
        <v>99199533.333333328</v>
      </c>
      <c r="M23" s="463">
        <f t="shared" si="17"/>
        <v>99199533.333333328</v>
      </c>
      <c r="N23" s="463">
        <f t="shared" si="17"/>
        <v>99199533.333333328</v>
      </c>
      <c r="O23" s="463">
        <f t="shared" si="17"/>
        <v>99199533.333333328</v>
      </c>
      <c r="P23" s="463">
        <f t="shared" si="17"/>
        <v>99199533.333333328</v>
      </c>
      <c r="Q23" s="463">
        <f t="shared" si="17"/>
        <v>100522146</v>
      </c>
      <c r="R23" s="463">
        <f t="shared" si="17"/>
        <v>100522146</v>
      </c>
      <c r="S23" s="463">
        <f t="shared" si="17"/>
        <v>100522146</v>
      </c>
      <c r="T23" s="463">
        <f t="shared" si="17"/>
        <v>100522146</v>
      </c>
      <c r="U23" s="463">
        <f t="shared" si="17"/>
        <v>100522146</v>
      </c>
      <c r="V23" s="463">
        <f t="shared" si="17"/>
        <v>100522146</v>
      </c>
      <c r="W23" s="463">
        <f t="shared" si="17"/>
        <v>100522146</v>
      </c>
      <c r="X23" s="463">
        <f t="shared" si="17"/>
        <v>100522146</v>
      </c>
      <c r="Y23" s="463">
        <f t="shared" si="17"/>
        <v>100522146</v>
      </c>
      <c r="Z23" s="463">
        <f t="shared" si="17"/>
        <v>100522146</v>
      </c>
      <c r="AA23" s="463">
        <f t="shared" si="17"/>
        <v>100522146</v>
      </c>
      <c r="AB23" s="463">
        <f t="shared" si="17"/>
        <v>100522146</v>
      </c>
      <c r="AC23" s="463">
        <f t="shared" ref="AC23:AN23" si="18">AC18*1</f>
        <v>0</v>
      </c>
      <c r="AD23" s="463">
        <f t="shared" si="18"/>
        <v>24998408.400000002</v>
      </c>
      <c r="AE23" s="463">
        <f t="shared" si="18"/>
        <v>85488310.600000009</v>
      </c>
      <c r="AF23" s="463">
        <f t="shared" si="18"/>
        <v>85488310.600000009</v>
      </c>
      <c r="AG23" s="463">
        <f t="shared" si="18"/>
        <v>85488310.600000009</v>
      </c>
      <c r="AH23" s="463">
        <f t="shared" si="18"/>
        <v>85488310.600000009</v>
      </c>
      <c r="AI23" s="463">
        <f t="shared" si="18"/>
        <v>85488310.600000009</v>
      </c>
      <c r="AJ23" s="463">
        <f t="shared" si="18"/>
        <v>85488310.600000009</v>
      </c>
      <c r="AK23" s="463">
        <f t="shared" si="18"/>
        <v>85488310.600000009</v>
      </c>
      <c r="AL23" s="463">
        <f t="shared" si="18"/>
        <v>85488310.600000009</v>
      </c>
      <c r="AM23" s="463">
        <f t="shared" si="18"/>
        <v>85488310.600000009</v>
      </c>
      <c r="AN23" s="463">
        <f t="shared" si="18"/>
        <v>85488310.600000009</v>
      </c>
    </row>
    <row r="24" spans="2:40" ht="15" customHeight="1">
      <c r="B24" s="452"/>
      <c r="C24" s="452"/>
      <c r="D24" s="452"/>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c r="AC24" s="463"/>
      <c r="AD24" s="463"/>
      <c r="AE24" s="463"/>
      <c r="AF24" s="463"/>
      <c r="AG24" s="463"/>
      <c r="AH24" s="463"/>
      <c r="AI24" s="463"/>
      <c r="AJ24" s="463"/>
      <c r="AK24" s="463"/>
      <c r="AL24" s="463"/>
      <c r="AM24" s="463"/>
      <c r="AN24" s="463"/>
    </row>
    <row r="25" spans="2:40" s="479" customFormat="1" ht="15" customHeight="1">
      <c r="B25" s="458" t="s">
        <v>642</v>
      </c>
      <c r="C25" s="625">
        <v>140000</v>
      </c>
      <c r="D25" s="478"/>
      <c r="E25" s="478">
        <f>$C$25/12</f>
        <v>11666.666666666666</v>
      </c>
      <c r="F25" s="478">
        <f t="shared" ref="F25:AN25" si="19">$C$25/12</f>
        <v>11666.666666666666</v>
      </c>
      <c r="G25" s="478">
        <f t="shared" si="19"/>
        <v>11666.666666666666</v>
      </c>
      <c r="H25" s="478">
        <f t="shared" si="19"/>
        <v>11666.666666666666</v>
      </c>
      <c r="I25" s="478">
        <f t="shared" si="19"/>
        <v>11666.666666666666</v>
      </c>
      <c r="J25" s="478">
        <f t="shared" si="19"/>
        <v>11666.666666666666</v>
      </c>
      <c r="K25" s="478">
        <f t="shared" si="19"/>
        <v>11666.666666666666</v>
      </c>
      <c r="L25" s="478">
        <f t="shared" si="19"/>
        <v>11666.666666666666</v>
      </c>
      <c r="M25" s="478">
        <f t="shared" si="19"/>
        <v>11666.666666666666</v>
      </c>
      <c r="N25" s="478">
        <f t="shared" si="19"/>
        <v>11666.666666666666</v>
      </c>
      <c r="O25" s="478">
        <f t="shared" si="19"/>
        <v>11666.666666666666</v>
      </c>
      <c r="P25" s="478">
        <f t="shared" si="19"/>
        <v>11666.666666666666</v>
      </c>
      <c r="Q25" s="478">
        <f>$C$25/12</f>
        <v>11666.666666666666</v>
      </c>
      <c r="R25" s="478">
        <f t="shared" si="19"/>
        <v>11666.666666666666</v>
      </c>
      <c r="S25" s="478">
        <f t="shared" si="19"/>
        <v>11666.666666666666</v>
      </c>
      <c r="T25" s="478">
        <f t="shared" si="19"/>
        <v>11666.666666666666</v>
      </c>
      <c r="U25" s="478">
        <f t="shared" si="19"/>
        <v>11666.666666666666</v>
      </c>
      <c r="V25" s="478">
        <f t="shared" si="19"/>
        <v>11666.666666666666</v>
      </c>
      <c r="W25" s="478">
        <f t="shared" si="19"/>
        <v>11666.666666666666</v>
      </c>
      <c r="X25" s="478">
        <f t="shared" si="19"/>
        <v>11666.666666666666</v>
      </c>
      <c r="Y25" s="478">
        <f t="shared" si="19"/>
        <v>11666.666666666666</v>
      </c>
      <c r="Z25" s="478">
        <f t="shared" si="19"/>
        <v>11666.666666666666</v>
      </c>
      <c r="AA25" s="478">
        <f t="shared" si="19"/>
        <v>11666.666666666666</v>
      </c>
      <c r="AB25" s="478">
        <f t="shared" si="19"/>
        <v>11666.666666666666</v>
      </c>
      <c r="AC25" s="478">
        <f>$C$25/12</f>
        <v>11666.666666666666</v>
      </c>
      <c r="AD25" s="478">
        <f t="shared" si="19"/>
        <v>11666.666666666666</v>
      </c>
      <c r="AE25" s="478">
        <f t="shared" si="19"/>
        <v>11666.666666666666</v>
      </c>
      <c r="AF25" s="478">
        <f t="shared" si="19"/>
        <v>11666.666666666666</v>
      </c>
      <c r="AG25" s="478">
        <f t="shared" si="19"/>
        <v>11666.666666666666</v>
      </c>
      <c r="AH25" s="478">
        <f t="shared" si="19"/>
        <v>11666.666666666666</v>
      </c>
      <c r="AI25" s="478">
        <f t="shared" si="19"/>
        <v>11666.666666666666</v>
      </c>
      <c r="AJ25" s="478">
        <f t="shared" si="19"/>
        <v>11666.666666666666</v>
      </c>
      <c r="AK25" s="478">
        <f t="shared" si="19"/>
        <v>11666.666666666666</v>
      </c>
      <c r="AL25" s="478">
        <f t="shared" si="19"/>
        <v>11666.666666666666</v>
      </c>
      <c r="AM25" s="478">
        <f t="shared" si="19"/>
        <v>11666.666666666666</v>
      </c>
      <c r="AN25" s="478">
        <f t="shared" si="19"/>
        <v>11666.666666666666</v>
      </c>
    </row>
    <row r="26" spans="2:40" ht="15" customHeight="1">
      <c r="B26" s="476" t="s">
        <v>643</v>
      </c>
      <c r="C26" s="452"/>
      <c r="D26" s="452"/>
      <c r="E26" s="452"/>
      <c r="F26" s="452"/>
      <c r="G26" s="452"/>
      <c r="H26" s="452"/>
      <c r="J26" s="469"/>
      <c r="K26" s="469"/>
      <c r="L26" s="469"/>
      <c r="M26" s="469"/>
      <c r="N26" s="469"/>
      <c r="Q26" s="452"/>
      <c r="R26" s="452"/>
      <c r="S26" s="452"/>
      <c r="T26" s="452"/>
      <c r="V26" s="469"/>
      <c r="W26" s="469"/>
      <c r="X26" s="469"/>
      <c r="Y26" s="469"/>
      <c r="Z26" s="469"/>
      <c r="AC26" s="452"/>
      <c r="AD26" s="452"/>
      <c r="AE26" s="452"/>
      <c r="AF26" s="452"/>
      <c r="AH26" s="469"/>
      <c r="AI26" s="469"/>
      <c r="AJ26" s="469"/>
      <c r="AK26" s="469"/>
      <c r="AL26" s="469"/>
    </row>
    <row r="27" spans="2:40" ht="15" customHeight="1">
      <c r="B27" s="480" t="s">
        <v>644</v>
      </c>
      <c r="C27" s="452"/>
      <c r="D27" s="452"/>
      <c r="E27" s="452"/>
      <c r="F27" s="452"/>
      <c r="G27" s="452"/>
      <c r="H27" s="452"/>
      <c r="J27" s="469"/>
      <c r="K27" s="469"/>
      <c r="L27" s="469"/>
      <c r="M27" s="469"/>
      <c r="N27" s="469"/>
      <c r="Q27" s="452"/>
      <c r="R27" s="452"/>
      <c r="S27" s="452"/>
      <c r="T27" s="452"/>
      <c r="V27" s="469"/>
      <c r="W27" s="469"/>
      <c r="X27" s="469"/>
      <c r="Y27" s="469"/>
      <c r="Z27" s="469"/>
      <c r="AC27" s="452"/>
      <c r="AD27" s="452"/>
      <c r="AE27" s="452"/>
      <c r="AF27" s="452"/>
      <c r="AH27" s="469"/>
      <c r="AI27" s="469"/>
      <c r="AJ27" s="469"/>
      <c r="AK27" s="469"/>
      <c r="AL27" s="469"/>
    </row>
    <row r="28" spans="2:40">
      <c r="B28" s="452" t="s">
        <v>598</v>
      </c>
      <c r="C28" s="450"/>
      <c r="D28" s="452"/>
      <c r="E28" s="471">
        <f>-$C28*$E$25</f>
        <v>0</v>
      </c>
      <c r="F28" s="471">
        <f t="shared" ref="F28:P28" si="20">-$C28*F25</f>
        <v>0</v>
      </c>
      <c r="G28" s="471">
        <f t="shared" si="20"/>
        <v>0</v>
      </c>
      <c r="H28" s="471">
        <f t="shared" si="20"/>
        <v>0</v>
      </c>
      <c r="I28" s="471">
        <f t="shared" si="20"/>
        <v>0</v>
      </c>
      <c r="J28" s="471">
        <f t="shared" si="20"/>
        <v>0</v>
      </c>
      <c r="K28" s="471">
        <f t="shared" si="20"/>
        <v>0</v>
      </c>
      <c r="L28" s="471">
        <f t="shared" si="20"/>
        <v>0</v>
      </c>
      <c r="M28" s="471">
        <f t="shared" si="20"/>
        <v>0</v>
      </c>
      <c r="N28" s="471">
        <f t="shared" si="20"/>
        <v>0</v>
      </c>
      <c r="O28" s="471">
        <f t="shared" si="20"/>
        <v>0</v>
      </c>
      <c r="P28" s="471">
        <f t="shared" si="20"/>
        <v>0</v>
      </c>
      <c r="Q28" s="471">
        <f>-$C28*Q25</f>
        <v>0</v>
      </c>
      <c r="R28" s="471">
        <f t="shared" ref="R28:AB28" si="21">-$C28*R25</f>
        <v>0</v>
      </c>
      <c r="S28" s="471">
        <f t="shared" si="21"/>
        <v>0</v>
      </c>
      <c r="T28" s="471">
        <f t="shared" si="21"/>
        <v>0</v>
      </c>
      <c r="U28" s="471">
        <f t="shared" si="21"/>
        <v>0</v>
      </c>
      <c r="V28" s="471">
        <f t="shared" si="21"/>
        <v>0</v>
      </c>
      <c r="W28" s="471">
        <f t="shared" si="21"/>
        <v>0</v>
      </c>
      <c r="X28" s="471">
        <f t="shared" si="21"/>
        <v>0</v>
      </c>
      <c r="Y28" s="471">
        <f t="shared" si="21"/>
        <v>0</v>
      </c>
      <c r="Z28" s="471">
        <f t="shared" si="21"/>
        <v>0</v>
      </c>
      <c r="AA28" s="471">
        <f t="shared" si="21"/>
        <v>0</v>
      </c>
      <c r="AB28" s="471">
        <f t="shared" si="21"/>
        <v>0</v>
      </c>
      <c r="AC28" s="471">
        <f>-$C28*AC25</f>
        <v>0</v>
      </c>
      <c r="AD28" s="471">
        <f t="shared" ref="AD28:AN28" si="22">-$C28*AD25</f>
        <v>0</v>
      </c>
      <c r="AE28" s="471">
        <f t="shared" si="22"/>
        <v>0</v>
      </c>
      <c r="AF28" s="471">
        <f t="shared" si="22"/>
        <v>0</v>
      </c>
      <c r="AG28" s="471">
        <f t="shared" si="22"/>
        <v>0</v>
      </c>
      <c r="AH28" s="471">
        <f t="shared" si="22"/>
        <v>0</v>
      </c>
      <c r="AI28" s="471">
        <f t="shared" si="22"/>
        <v>0</v>
      </c>
      <c r="AJ28" s="471">
        <f t="shared" si="22"/>
        <v>0</v>
      </c>
      <c r="AK28" s="471">
        <f t="shared" si="22"/>
        <v>0</v>
      </c>
      <c r="AL28" s="471">
        <f t="shared" si="22"/>
        <v>0</v>
      </c>
      <c r="AM28" s="471">
        <f t="shared" si="22"/>
        <v>0</v>
      </c>
      <c r="AN28" s="471">
        <f t="shared" si="22"/>
        <v>0</v>
      </c>
    </row>
    <row r="29" spans="2:40">
      <c r="B29" s="452" t="s">
        <v>645</v>
      </c>
      <c r="C29" s="450"/>
      <c r="D29" s="452"/>
      <c r="E29" s="471">
        <f>-$C29*$E$25</f>
        <v>0</v>
      </c>
      <c r="F29" s="471">
        <f t="shared" ref="F29:P29" si="23">-$C29*F25</f>
        <v>0</v>
      </c>
      <c r="G29" s="471">
        <f t="shared" si="23"/>
        <v>0</v>
      </c>
      <c r="H29" s="471">
        <f t="shared" si="23"/>
        <v>0</v>
      </c>
      <c r="I29" s="471">
        <f t="shared" si="23"/>
        <v>0</v>
      </c>
      <c r="J29" s="471">
        <f t="shared" si="23"/>
        <v>0</v>
      </c>
      <c r="K29" s="471">
        <f t="shared" si="23"/>
        <v>0</v>
      </c>
      <c r="L29" s="471">
        <f t="shared" si="23"/>
        <v>0</v>
      </c>
      <c r="M29" s="471">
        <f t="shared" si="23"/>
        <v>0</v>
      </c>
      <c r="N29" s="471">
        <f t="shared" si="23"/>
        <v>0</v>
      </c>
      <c r="O29" s="471">
        <f t="shared" si="23"/>
        <v>0</v>
      </c>
      <c r="P29" s="471">
        <f t="shared" si="23"/>
        <v>0</v>
      </c>
      <c r="Q29" s="471">
        <f>-$C29*Q25</f>
        <v>0</v>
      </c>
      <c r="R29" s="471">
        <f t="shared" ref="R29:AB29" si="24">-$C29*R25</f>
        <v>0</v>
      </c>
      <c r="S29" s="471">
        <f t="shared" si="24"/>
        <v>0</v>
      </c>
      <c r="T29" s="471">
        <f t="shared" si="24"/>
        <v>0</v>
      </c>
      <c r="U29" s="471">
        <f t="shared" si="24"/>
        <v>0</v>
      </c>
      <c r="V29" s="471">
        <f t="shared" si="24"/>
        <v>0</v>
      </c>
      <c r="W29" s="471">
        <f t="shared" si="24"/>
        <v>0</v>
      </c>
      <c r="X29" s="471">
        <f t="shared" si="24"/>
        <v>0</v>
      </c>
      <c r="Y29" s="471">
        <f t="shared" si="24"/>
        <v>0</v>
      </c>
      <c r="Z29" s="471">
        <f t="shared" si="24"/>
        <v>0</v>
      </c>
      <c r="AA29" s="471">
        <f t="shared" si="24"/>
        <v>0</v>
      </c>
      <c r="AB29" s="471">
        <f t="shared" si="24"/>
        <v>0</v>
      </c>
      <c r="AC29" s="471">
        <f>-$C29*AC25</f>
        <v>0</v>
      </c>
      <c r="AD29" s="471">
        <f t="shared" ref="AD29:AN29" si="25">-$C29*AD25</f>
        <v>0</v>
      </c>
      <c r="AE29" s="471">
        <f t="shared" si="25"/>
        <v>0</v>
      </c>
      <c r="AF29" s="471">
        <f t="shared" si="25"/>
        <v>0</v>
      </c>
      <c r="AG29" s="471">
        <f t="shared" si="25"/>
        <v>0</v>
      </c>
      <c r="AH29" s="471">
        <f t="shared" si="25"/>
        <v>0</v>
      </c>
      <c r="AI29" s="471">
        <f t="shared" si="25"/>
        <v>0</v>
      </c>
      <c r="AJ29" s="471">
        <f t="shared" si="25"/>
        <v>0</v>
      </c>
      <c r="AK29" s="471">
        <f t="shared" si="25"/>
        <v>0</v>
      </c>
      <c r="AL29" s="471">
        <f t="shared" si="25"/>
        <v>0</v>
      </c>
      <c r="AM29" s="471">
        <f t="shared" si="25"/>
        <v>0</v>
      </c>
      <c r="AN29" s="471">
        <f t="shared" si="25"/>
        <v>0</v>
      </c>
    </row>
    <row r="30" spans="2:40">
      <c r="B30" s="452" t="s">
        <v>600</v>
      </c>
      <c r="C30" s="450"/>
      <c r="D30" s="452"/>
      <c r="E30" s="471">
        <f>-$C30*$E$25</f>
        <v>0</v>
      </c>
      <c r="F30" s="471">
        <f t="shared" ref="F30:P30" si="26">-$C30*F25</f>
        <v>0</v>
      </c>
      <c r="G30" s="471">
        <f t="shared" si="26"/>
        <v>0</v>
      </c>
      <c r="H30" s="471">
        <f t="shared" si="26"/>
        <v>0</v>
      </c>
      <c r="I30" s="471">
        <f t="shared" si="26"/>
        <v>0</v>
      </c>
      <c r="J30" s="471">
        <f t="shared" si="26"/>
        <v>0</v>
      </c>
      <c r="K30" s="471">
        <f t="shared" si="26"/>
        <v>0</v>
      </c>
      <c r="L30" s="471">
        <f t="shared" si="26"/>
        <v>0</v>
      </c>
      <c r="M30" s="471">
        <f t="shared" si="26"/>
        <v>0</v>
      </c>
      <c r="N30" s="471">
        <f t="shared" si="26"/>
        <v>0</v>
      </c>
      <c r="O30" s="471">
        <f t="shared" si="26"/>
        <v>0</v>
      </c>
      <c r="P30" s="471">
        <f t="shared" si="26"/>
        <v>0</v>
      </c>
      <c r="Q30" s="471">
        <f>-$C30*Q25</f>
        <v>0</v>
      </c>
      <c r="R30" s="471">
        <f t="shared" ref="R30:AB30" si="27">-$C30*R25</f>
        <v>0</v>
      </c>
      <c r="S30" s="471">
        <f t="shared" si="27"/>
        <v>0</v>
      </c>
      <c r="T30" s="471">
        <f t="shared" si="27"/>
        <v>0</v>
      </c>
      <c r="U30" s="471">
        <f t="shared" si="27"/>
        <v>0</v>
      </c>
      <c r="V30" s="471">
        <f t="shared" si="27"/>
        <v>0</v>
      </c>
      <c r="W30" s="471">
        <f t="shared" si="27"/>
        <v>0</v>
      </c>
      <c r="X30" s="471">
        <f t="shared" si="27"/>
        <v>0</v>
      </c>
      <c r="Y30" s="471">
        <f t="shared" si="27"/>
        <v>0</v>
      </c>
      <c r="Z30" s="471">
        <f t="shared" si="27"/>
        <v>0</v>
      </c>
      <c r="AA30" s="471">
        <f t="shared" si="27"/>
        <v>0</v>
      </c>
      <c r="AB30" s="471">
        <f t="shared" si="27"/>
        <v>0</v>
      </c>
      <c r="AC30" s="471">
        <f>-$C30*AC25</f>
        <v>0</v>
      </c>
      <c r="AD30" s="471">
        <f t="shared" ref="AD30:AN30" si="28">-$C30*AD25</f>
        <v>0</v>
      </c>
      <c r="AE30" s="471">
        <f t="shared" si="28"/>
        <v>0</v>
      </c>
      <c r="AF30" s="471">
        <f t="shared" si="28"/>
        <v>0</v>
      </c>
      <c r="AG30" s="471">
        <f t="shared" si="28"/>
        <v>0</v>
      </c>
      <c r="AH30" s="471">
        <f t="shared" si="28"/>
        <v>0</v>
      </c>
      <c r="AI30" s="471">
        <f t="shared" si="28"/>
        <v>0</v>
      </c>
      <c r="AJ30" s="471">
        <f t="shared" si="28"/>
        <v>0</v>
      </c>
      <c r="AK30" s="471">
        <f t="shared" si="28"/>
        <v>0</v>
      </c>
      <c r="AL30" s="471">
        <f t="shared" si="28"/>
        <v>0</v>
      </c>
      <c r="AM30" s="471">
        <f t="shared" si="28"/>
        <v>0</v>
      </c>
      <c r="AN30" s="471">
        <f t="shared" si="28"/>
        <v>0</v>
      </c>
    </row>
    <row r="31" spans="2:40">
      <c r="B31" s="452" t="s">
        <v>181</v>
      </c>
      <c r="C31" s="450"/>
      <c r="D31" s="452"/>
      <c r="E31" s="471">
        <f>-$C31*$E$25</f>
        <v>0</v>
      </c>
      <c r="F31" s="471">
        <f t="shared" ref="F31:T31" si="29">-$C31*$E$25</f>
        <v>0</v>
      </c>
      <c r="G31" s="471">
        <f t="shared" si="29"/>
        <v>0</v>
      </c>
      <c r="H31" s="471">
        <f t="shared" si="29"/>
        <v>0</v>
      </c>
      <c r="I31" s="471">
        <f t="shared" si="29"/>
        <v>0</v>
      </c>
      <c r="J31" s="471">
        <f t="shared" si="29"/>
        <v>0</v>
      </c>
      <c r="K31" s="471">
        <f t="shared" si="29"/>
        <v>0</v>
      </c>
      <c r="L31" s="471">
        <f t="shared" si="29"/>
        <v>0</v>
      </c>
      <c r="M31" s="471">
        <f t="shared" si="29"/>
        <v>0</v>
      </c>
      <c r="N31" s="471">
        <f t="shared" si="29"/>
        <v>0</v>
      </c>
      <c r="O31" s="471">
        <f t="shared" si="29"/>
        <v>0</v>
      </c>
      <c r="P31" s="471">
        <f t="shared" si="29"/>
        <v>0</v>
      </c>
      <c r="Q31" s="471">
        <f t="shared" si="29"/>
        <v>0</v>
      </c>
      <c r="R31" s="471">
        <f t="shared" si="29"/>
        <v>0</v>
      </c>
      <c r="S31" s="471">
        <f t="shared" si="29"/>
        <v>0</v>
      </c>
      <c r="T31" s="471">
        <f t="shared" si="29"/>
        <v>0</v>
      </c>
      <c r="U31" s="471">
        <f t="shared" ref="U31:AN31" si="30">-$C31*$E$25</f>
        <v>0</v>
      </c>
      <c r="V31" s="471">
        <f t="shared" si="30"/>
        <v>0</v>
      </c>
      <c r="W31" s="471">
        <f t="shared" si="30"/>
        <v>0</v>
      </c>
      <c r="X31" s="471">
        <f t="shared" si="30"/>
        <v>0</v>
      </c>
      <c r="Y31" s="471">
        <f t="shared" si="30"/>
        <v>0</v>
      </c>
      <c r="Z31" s="471">
        <f t="shared" si="30"/>
        <v>0</v>
      </c>
      <c r="AA31" s="471">
        <f t="shared" si="30"/>
        <v>0</v>
      </c>
      <c r="AB31" s="471">
        <f t="shared" si="30"/>
        <v>0</v>
      </c>
      <c r="AC31" s="471">
        <f t="shared" si="30"/>
        <v>0</v>
      </c>
      <c r="AD31" s="471">
        <f t="shared" si="30"/>
        <v>0</v>
      </c>
      <c r="AE31" s="471">
        <f t="shared" si="30"/>
        <v>0</v>
      </c>
      <c r="AF31" s="471">
        <f t="shared" si="30"/>
        <v>0</v>
      </c>
      <c r="AG31" s="471">
        <f t="shared" si="30"/>
        <v>0</v>
      </c>
      <c r="AH31" s="471">
        <f t="shared" si="30"/>
        <v>0</v>
      </c>
      <c r="AI31" s="471">
        <f t="shared" si="30"/>
        <v>0</v>
      </c>
      <c r="AJ31" s="471">
        <f t="shared" si="30"/>
        <v>0</v>
      </c>
      <c r="AK31" s="471">
        <f t="shared" si="30"/>
        <v>0</v>
      </c>
      <c r="AL31" s="471">
        <f t="shared" si="30"/>
        <v>0</v>
      </c>
      <c r="AM31" s="471">
        <f t="shared" si="30"/>
        <v>0</v>
      </c>
      <c r="AN31" s="471">
        <f t="shared" si="30"/>
        <v>0</v>
      </c>
    </row>
    <row r="32" spans="2:40">
      <c r="B32" s="452"/>
      <c r="C32" s="452"/>
      <c r="D32" s="452"/>
      <c r="E32" s="452"/>
      <c r="F32" s="452"/>
      <c r="G32" s="452"/>
      <c r="H32" s="452"/>
      <c r="Q32" s="452"/>
      <c r="R32" s="452"/>
      <c r="S32" s="452"/>
      <c r="T32" s="452"/>
      <c r="AC32" s="452"/>
      <c r="AD32" s="452"/>
      <c r="AE32" s="452"/>
      <c r="AF32" s="452"/>
    </row>
    <row r="33" spans="2:40">
      <c r="B33" s="480" t="s">
        <v>646</v>
      </c>
      <c r="C33" s="452"/>
      <c r="D33" s="452"/>
      <c r="E33" s="452"/>
      <c r="F33" s="452"/>
      <c r="G33" s="452"/>
      <c r="H33" s="452"/>
      <c r="Q33" s="452"/>
      <c r="R33" s="452"/>
      <c r="S33" s="452"/>
      <c r="T33" s="452"/>
      <c r="AC33" s="452"/>
      <c r="AD33" s="452"/>
      <c r="AE33" s="452"/>
      <c r="AF33" s="452"/>
    </row>
    <row r="34" spans="2:40">
      <c r="B34" s="452" t="s">
        <v>895</v>
      </c>
      <c r="C34" s="450">
        <v>4166.666666666667</v>
      </c>
      <c r="D34" s="452"/>
      <c r="E34" s="471">
        <f>-$C34*E25</f>
        <v>-48611111.111111112</v>
      </c>
      <c r="F34" s="471">
        <f t="shared" ref="F34:P34" si="31">-$C34*F25</f>
        <v>-48611111.111111112</v>
      </c>
      <c r="G34" s="471">
        <f t="shared" si="31"/>
        <v>-48611111.111111112</v>
      </c>
      <c r="H34" s="471">
        <f t="shared" si="31"/>
        <v>-48611111.111111112</v>
      </c>
      <c r="I34" s="471">
        <f t="shared" si="31"/>
        <v>-48611111.111111112</v>
      </c>
      <c r="J34" s="471">
        <f t="shared" si="31"/>
        <v>-48611111.111111112</v>
      </c>
      <c r="K34" s="471">
        <f t="shared" si="31"/>
        <v>-48611111.111111112</v>
      </c>
      <c r="L34" s="471">
        <f t="shared" si="31"/>
        <v>-48611111.111111112</v>
      </c>
      <c r="M34" s="471">
        <f t="shared" si="31"/>
        <v>-48611111.111111112</v>
      </c>
      <c r="N34" s="471">
        <f t="shared" si="31"/>
        <v>-48611111.111111112</v>
      </c>
      <c r="O34" s="471">
        <f t="shared" si="31"/>
        <v>-48611111.111111112</v>
      </c>
      <c r="P34" s="471">
        <f t="shared" si="31"/>
        <v>-48611111.111111112</v>
      </c>
      <c r="Q34" s="471">
        <f>-$C34*Q25</f>
        <v>-48611111.111111112</v>
      </c>
      <c r="R34" s="471">
        <f t="shared" ref="R34:AB34" si="32">-$C34*R25</f>
        <v>-48611111.111111112</v>
      </c>
      <c r="S34" s="471">
        <f t="shared" si="32"/>
        <v>-48611111.111111112</v>
      </c>
      <c r="T34" s="471">
        <f t="shared" si="32"/>
        <v>-48611111.111111112</v>
      </c>
      <c r="U34" s="471">
        <f t="shared" si="32"/>
        <v>-48611111.111111112</v>
      </c>
      <c r="V34" s="471">
        <f t="shared" si="32"/>
        <v>-48611111.111111112</v>
      </c>
      <c r="W34" s="471">
        <f t="shared" si="32"/>
        <v>-48611111.111111112</v>
      </c>
      <c r="X34" s="471">
        <f t="shared" si="32"/>
        <v>-48611111.111111112</v>
      </c>
      <c r="Y34" s="471">
        <f t="shared" si="32"/>
        <v>-48611111.111111112</v>
      </c>
      <c r="Z34" s="471">
        <f t="shared" si="32"/>
        <v>-48611111.111111112</v>
      </c>
      <c r="AA34" s="471">
        <f t="shared" si="32"/>
        <v>-48611111.111111112</v>
      </c>
      <c r="AB34" s="471">
        <f t="shared" si="32"/>
        <v>-48611111.111111112</v>
      </c>
      <c r="AC34" s="471">
        <f>-$C34*AC25</f>
        <v>-48611111.111111112</v>
      </c>
      <c r="AD34" s="471">
        <f t="shared" ref="AD34:AN34" si="33">-$C34*AD25</f>
        <v>-48611111.111111112</v>
      </c>
      <c r="AE34" s="471">
        <f t="shared" si="33"/>
        <v>-48611111.111111112</v>
      </c>
      <c r="AF34" s="471">
        <f t="shared" si="33"/>
        <v>-48611111.111111112</v>
      </c>
      <c r="AG34" s="471">
        <f t="shared" si="33"/>
        <v>-48611111.111111112</v>
      </c>
      <c r="AH34" s="471">
        <f t="shared" si="33"/>
        <v>-48611111.111111112</v>
      </c>
      <c r="AI34" s="471">
        <f t="shared" si="33"/>
        <v>-48611111.111111112</v>
      </c>
      <c r="AJ34" s="471">
        <f t="shared" si="33"/>
        <v>-48611111.111111112</v>
      </c>
      <c r="AK34" s="471">
        <f t="shared" si="33"/>
        <v>-48611111.111111112</v>
      </c>
      <c r="AL34" s="471">
        <f t="shared" si="33"/>
        <v>-48611111.111111112</v>
      </c>
      <c r="AM34" s="471">
        <f t="shared" si="33"/>
        <v>-48611111.111111112</v>
      </c>
      <c r="AN34" s="471">
        <f t="shared" si="33"/>
        <v>-48611111.111111112</v>
      </c>
    </row>
    <row r="35" spans="2:40">
      <c r="B35" s="452" t="s">
        <v>894</v>
      </c>
      <c r="C35" s="450">
        <v>557.14</v>
      </c>
      <c r="D35" s="452"/>
      <c r="E35" s="452"/>
      <c r="F35" s="471">
        <f>-$C35*F25</f>
        <v>-6499966.666666666</v>
      </c>
      <c r="G35" s="471">
        <f t="shared" ref="G35:AB35" si="34">-$C35*G25</f>
        <v>-6499966.666666666</v>
      </c>
      <c r="H35" s="471">
        <f t="shared" si="34"/>
        <v>-6499966.666666666</v>
      </c>
      <c r="I35" s="471">
        <f t="shared" si="34"/>
        <v>-6499966.666666666</v>
      </c>
      <c r="J35" s="471">
        <f t="shared" si="34"/>
        <v>-6499966.666666666</v>
      </c>
      <c r="K35" s="471">
        <f t="shared" si="34"/>
        <v>-6499966.666666666</v>
      </c>
      <c r="L35" s="471">
        <f t="shared" si="34"/>
        <v>-6499966.666666666</v>
      </c>
      <c r="M35" s="471">
        <f t="shared" si="34"/>
        <v>-6499966.666666666</v>
      </c>
      <c r="N35" s="471">
        <f t="shared" si="34"/>
        <v>-6499966.666666666</v>
      </c>
      <c r="O35" s="471">
        <f t="shared" si="34"/>
        <v>-6499966.666666666</v>
      </c>
      <c r="P35" s="471">
        <f t="shared" si="34"/>
        <v>-6499966.666666666</v>
      </c>
      <c r="Q35" s="471">
        <f t="shared" si="34"/>
        <v>-6499966.666666666</v>
      </c>
      <c r="R35" s="471">
        <f t="shared" si="34"/>
        <v>-6499966.666666666</v>
      </c>
      <c r="S35" s="471">
        <f t="shared" si="34"/>
        <v>-6499966.666666666</v>
      </c>
      <c r="T35" s="471">
        <f t="shared" si="34"/>
        <v>-6499966.666666666</v>
      </c>
      <c r="U35" s="471">
        <f t="shared" si="34"/>
        <v>-6499966.666666666</v>
      </c>
      <c r="V35" s="471">
        <f t="shared" si="34"/>
        <v>-6499966.666666666</v>
      </c>
      <c r="W35" s="471">
        <f t="shared" si="34"/>
        <v>-6499966.666666666</v>
      </c>
      <c r="X35" s="471">
        <f t="shared" si="34"/>
        <v>-6499966.666666666</v>
      </c>
      <c r="Y35" s="471">
        <f t="shared" si="34"/>
        <v>-6499966.666666666</v>
      </c>
      <c r="Z35" s="471">
        <f t="shared" si="34"/>
        <v>-6499966.666666666</v>
      </c>
      <c r="AA35" s="471">
        <f t="shared" si="34"/>
        <v>-6499966.666666666</v>
      </c>
      <c r="AB35" s="471">
        <f t="shared" si="34"/>
        <v>-6499966.666666666</v>
      </c>
      <c r="AC35" s="471">
        <f t="shared" ref="AC35:AN35" si="35">-$C35*AC25</f>
        <v>-6499966.666666666</v>
      </c>
      <c r="AD35" s="471">
        <f t="shared" si="35"/>
        <v>-6499966.666666666</v>
      </c>
      <c r="AE35" s="471">
        <f t="shared" si="35"/>
        <v>-6499966.666666666</v>
      </c>
      <c r="AF35" s="471">
        <f t="shared" si="35"/>
        <v>-6499966.666666666</v>
      </c>
      <c r="AG35" s="471">
        <f t="shared" si="35"/>
        <v>-6499966.666666666</v>
      </c>
      <c r="AH35" s="471">
        <f t="shared" si="35"/>
        <v>-6499966.666666666</v>
      </c>
      <c r="AI35" s="471">
        <f t="shared" si="35"/>
        <v>-6499966.666666666</v>
      </c>
      <c r="AJ35" s="471">
        <f t="shared" si="35"/>
        <v>-6499966.666666666</v>
      </c>
      <c r="AK35" s="471">
        <f t="shared" si="35"/>
        <v>-6499966.666666666</v>
      </c>
      <c r="AL35" s="471">
        <f t="shared" si="35"/>
        <v>-6499966.666666666</v>
      </c>
      <c r="AM35" s="471">
        <f t="shared" si="35"/>
        <v>-6499966.666666666</v>
      </c>
      <c r="AN35" s="471">
        <f t="shared" si="35"/>
        <v>-6499966.666666666</v>
      </c>
    </row>
    <row r="36" spans="2:40">
      <c r="B36" s="452" t="s">
        <v>808</v>
      </c>
      <c r="C36" s="450">
        <v>0</v>
      </c>
      <c r="D36" s="452"/>
      <c r="E36" s="452"/>
      <c r="F36" s="471">
        <f>-$C36*F25</f>
        <v>0</v>
      </c>
      <c r="G36" s="471">
        <f t="shared" ref="G36:AB36" si="36">-$C36*G25</f>
        <v>0</v>
      </c>
      <c r="H36" s="471">
        <f t="shared" si="36"/>
        <v>0</v>
      </c>
      <c r="I36" s="471">
        <f t="shared" si="36"/>
        <v>0</v>
      </c>
      <c r="J36" s="471">
        <f t="shared" si="36"/>
        <v>0</v>
      </c>
      <c r="K36" s="471">
        <f t="shared" si="36"/>
        <v>0</v>
      </c>
      <c r="L36" s="471">
        <f t="shared" si="36"/>
        <v>0</v>
      </c>
      <c r="M36" s="471">
        <f t="shared" si="36"/>
        <v>0</v>
      </c>
      <c r="N36" s="471">
        <f t="shared" si="36"/>
        <v>0</v>
      </c>
      <c r="O36" s="471">
        <f t="shared" si="36"/>
        <v>0</v>
      </c>
      <c r="P36" s="471">
        <f t="shared" si="36"/>
        <v>0</v>
      </c>
      <c r="Q36" s="471">
        <f t="shared" si="36"/>
        <v>0</v>
      </c>
      <c r="R36" s="471">
        <f t="shared" si="36"/>
        <v>0</v>
      </c>
      <c r="S36" s="471">
        <f t="shared" si="36"/>
        <v>0</v>
      </c>
      <c r="T36" s="471">
        <f t="shared" si="36"/>
        <v>0</v>
      </c>
      <c r="U36" s="471">
        <f t="shared" si="36"/>
        <v>0</v>
      </c>
      <c r="V36" s="471">
        <f t="shared" si="36"/>
        <v>0</v>
      </c>
      <c r="W36" s="471">
        <f t="shared" si="36"/>
        <v>0</v>
      </c>
      <c r="X36" s="471">
        <f t="shared" si="36"/>
        <v>0</v>
      </c>
      <c r="Y36" s="471">
        <f t="shared" si="36"/>
        <v>0</v>
      </c>
      <c r="Z36" s="471">
        <f t="shared" si="36"/>
        <v>0</v>
      </c>
      <c r="AA36" s="471">
        <f t="shared" si="36"/>
        <v>0</v>
      </c>
      <c r="AB36" s="471">
        <f t="shared" si="36"/>
        <v>0</v>
      </c>
      <c r="AC36" s="471">
        <f t="shared" ref="AC36:AN36" si="37">-$C36*AC25</f>
        <v>0</v>
      </c>
      <c r="AD36" s="471">
        <f t="shared" si="37"/>
        <v>0</v>
      </c>
      <c r="AE36" s="471">
        <f t="shared" si="37"/>
        <v>0</v>
      </c>
      <c r="AF36" s="471">
        <f t="shared" si="37"/>
        <v>0</v>
      </c>
      <c r="AG36" s="471">
        <f t="shared" si="37"/>
        <v>0</v>
      </c>
      <c r="AH36" s="471">
        <f t="shared" si="37"/>
        <v>0</v>
      </c>
      <c r="AI36" s="471">
        <f t="shared" si="37"/>
        <v>0</v>
      </c>
      <c r="AJ36" s="471">
        <f t="shared" si="37"/>
        <v>0</v>
      </c>
      <c r="AK36" s="471">
        <f t="shared" si="37"/>
        <v>0</v>
      </c>
      <c r="AL36" s="471">
        <f t="shared" si="37"/>
        <v>0</v>
      </c>
      <c r="AM36" s="471">
        <f t="shared" si="37"/>
        <v>0</v>
      </c>
      <c r="AN36" s="471">
        <f t="shared" si="37"/>
        <v>0</v>
      </c>
    </row>
    <row r="37" spans="2:40">
      <c r="B37" s="452" t="s">
        <v>807</v>
      </c>
      <c r="C37" s="450">
        <v>0</v>
      </c>
      <c r="D37" s="452"/>
      <c r="E37" s="452"/>
      <c r="F37" s="471">
        <f>-$C37*F25</f>
        <v>0</v>
      </c>
      <c r="G37" s="471">
        <f t="shared" ref="G37:AB37" si="38">-$C37*G25</f>
        <v>0</v>
      </c>
      <c r="H37" s="471">
        <f t="shared" si="38"/>
        <v>0</v>
      </c>
      <c r="I37" s="471">
        <f t="shared" si="38"/>
        <v>0</v>
      </c>
      <c r="J37" s="471">
        <f t="shared" si="38"/>
        <v>0</v>
      </c>
      <c r="K37" s="471">
        <f t="shared" si="38"/>
        <v>0</v>
      </c>
      <c r="L37" s="471">
        <f t="shared" si="38"/>
        <v>0</v>
      </c>
      <c r="M37" s="471">
        <f t="shared" si="38"/>
        <v>0</v>
      </c>
      <c r="N37" s="471">
        <f t="shared" si="38"/>
        <v>0</v>
      </c>
      <c r="O37" s="471">
        <f t="shared" si="38"/>
        <v>0</v>
      </c>
      <c r="P37" s="471">
        <f t="shared" si="38"/>
        <v>0</v>
      </c>
      <c r="Q37" s="471">
        <f t="shared" si="38"/>
        <v>0</v>
      </c>
      <c r="R37" s="471">
        <f t="shared" si="38"/>
        <v>0</v>
      </c>
      <c r="S37" s="471">
        <f t="shared" si="38"/>
        <v>0</v>
      </c>
      <c r="T37" s="471">
        <f t="shared" si="38"/>
        <v>0</v>
      </c>
      <c r="U37" s="471">
        <f t="shared" si="38"/>
        <v>0</v>
      </c>
      <c r="V37" s="471">
        <f t="shared" si="38"/>
        <v>0</v>
      </c>
      <c r="W37" s="471">
        <f t="shared" si="38"/>
        <v>0</v>
      </c>
      <c r="X37" s="471">
        <f t="shared" si="38"/>
        <v>0</v>
      </c>
      <c r="Y37" s="471">
        <f t="shared" si="38"/>
        <v>0</v>
      </c>
      <c r="Z37" s="471">
        <f t="shared" si="38"/>
        <v>0</v>
      </c>
      <c r="AA37" s="471">
        <f t="shared" si="38"/>
        <v>0</v>
      </c>
      <c r="AB37" s="471">
        <f t="shared" si="38"/>
        <v>0</v>
      </c>
      <c r="AC37" s="471">
        <f t="shared" ref="AC37:AN37" si="39">-$C37*AC25</f>
        <v>0</v>
      </c>
      <c r="AD37" s="471">
        <f t="shared" si="39"/>
        <v>0</v>
      </c>
      <c r="AE37" s="471">
        <f t="shared" si="39"/>
        <v>0</v>
      </c>
      <c r="AF37" s="471">
        <f t="shared" si="39"/>
        <v>0</v>
      </c>
      <c r="AG37" s="471">
        <f t="shared" si="39"/>
        <v>0</v>
      </c>
      <c r="AH37" s="471">
        <f t="shared" si="39"/>
        <v>0</v>
      </c>
      <c r="AI37" s="471">
        <f t="shared" si="39"/>
        <v>0</v>
      </c>
      <c r="AJ37" s="471">
        <f t="shared" si="39"/>
        <v>0</v>
      </c>
      <c r="AK37" s="471">
        <f t="shared" si="39"/>
        <v>0</v>
      </c>
      <c r="AL37" s="471">
        <f t="shared" si="39"/>
        <v>0</v>
      </c>
      <c r="AM37" s="471">
        <f t="shared" si="39"/>
        <v>0</v>
      </c>
      <c r="AN37" s="471">
        <f t="shared" si="39"/>
        <v>0</v>
      </c>
    </row>
    <row r="38" spans="2:40">
      <c r="B38" s="452" t="s">
        <v>806</v>
      </c>
      <c r="C38" s="450">
        <v>0</v>
      </c>
      <c r="D38" s="452"/>
      <c r="E38" s="452"/>
      <c r="F38" s="452"/>
      <c r="G38" s="471">
        <f>-$C38*G25</f>
        <v>0</v>
      </c>
      <c r="H38" s="471">
        <f t="shared" ref="H38:AB38" si="40">-$C38*H25</f>
        <v>0</v>
      </c>
      <c r="I38" s="471">
        <f t="shared" si="40"/>
        <v>0</v>
      </c>
      <c r="J38" s="471">
        <f t="shared" si="40"/>
        <v>0</v>
      </c>
      <c r="K38" s="471">
        <f t="shared" si="40"/>
        <v>0</v>
      </c>
      <c r="L38" s="471">
        <f t="shared" si="40"/>
        <v>0</v>
      </c>
      <c r="M38" s="471">
        <f t="shared" si="40"/>
        <v>0</v>
      </c>
      <c r="N38" s="471">
        <f t="shared" si="40"/>
        <v>0</v>
      </c>
      <c r="O38" s="471">
        <f t="shared" si="40"/>
        <v>0</v>
      </c>
      <c r="P38" s="471">
        <f t="shared" si="40"/>
        <v>0</v>
      </c>
      <c r="Q38" s="471">
        <f t="shared" si="40"/>
        <v>0</v>
      </c>
      <c r="R38" s="471">
        <f t="shared" si="40"/>
        <v>0</v>
      </c>
      <c r="S38" s="471">
        <f t="shared" si="40"/>
        <v>0</v>
      </c>
      <c r="T38" s="471">
        <f t="shared" si="40"/>
        <v>0</v>
      </c>
      <c r="U38" s="471">
        <f t="shared" si="40"/>
        <v>0</v>
      </c>
      <c r="V38" s="471">
        <f t="shared" si="40"/>
        <v>0</v>
      </c>
      <c r="W38" s="471">
        <f t="shared" si="40"/>
        <v>0</v>
      </c>
      <c r="X38" s="471">
        <f t="shared" si="40"/>
        <v>0</v>
      </c>
      <c r="Y38" s="471">
        <f t="shared" si="40"/>
        <v>0</v>
      </c>
      <c r="Z38" s="471">
        <f t="shared" si="40"/>
        <v>0</v>
      </c>
      <c r="AA38" s="471">
        <f t="shared" si="40"/>
        <v>0</v>
      </c>
      <c r="AB38" s="471">
        <f t="shared" si="40"/>
        <v>0</v>
      </c>
      <c r="AC38" s="471">
        <f t="shared" ref="AC38:AN38" si="41">-$C38*AC25</f>
        <v>0</v>
      </c>
      <c r="AD38" s="471">
        <f t="shared" si="41"/>
        <v>0</v>
      </c>
      <c r="AE38" s="471">
        <f t="shared" si="41"/>
        <v>0</v>
      </c>
      <c r="AF38" s="471">
        <f t="shared" si="41"/>
        <v>0</v>
      </c>
      <c r="AG38" s="471">
        <f t="shared" si="41"/>
        <v>0</v>
      </c>
      <c r="AH38" s="471">
        <f t="shared" si="41"/>
        <v>0</v>
      </c>
      <c r="AI38" s="471">
        <f t="shared" si="41"/>
        <v>0</v>
      </c>
      <c r="AJ38" s="471">
        <f t="shared" si="41"/>
        <v>0</v>
      </c>
      <c r="AK38" s="471">
        <f t="shared" si="41"/>
        <v>0</v>
      </c>
      <c r="AL38" s="471">
        <f t="shared" si="41"/>
        <v>0</v>
      </c>
      <c r="AM38" s="471">
        <f t="shared" si="41"/>
        <v>0</v>
      </c>
      <c r="AN38" s="471">
        <f t="shared" si="41"/>
        <v>0</v>
      </c>
    </row>
    <row r="39" spans="2:40">
      <c r="B39" s="452" t="s">
        <v>650</v>
      </c>
      <c r="C39" s="450">
        <v>0</v>
      </c>
      <c r="D39" s="452"/>
      <c r="E39" s="452"/>
      <c r="F39" s="452"/>
      <c r="G39" s="452"/>
      <c r="H39" s="471">
        <f>-$C39*H25</f>
        <v>0</v>
      </c>
      <c r="I39" s="471">
        <f t="shared" ref="I39:P39" si="42">-$C39*I25</f>
        <v>0</v>
      </c>
      <c r="J39" s="471">
        <f t="shared" si="42"/>
        <v>0</v>
      </c>
      <c r="K39" s="471">
        <f t="shared" si="42"/>
        <v>0</v>
      </c>
      <c r="L39" s="471">
        <f t="shared" si="42"/>
        <v>0</v>
      </c>
      <c r="M39" s="471">
        <f t="shared" si="42"/>
        <v>0</v>
      </c>
      <c r="N39" s="471">
        <f t="shared" si="42"/>
        <v>0</v>
      </c>
      <c r="O39" s="471">
        <f t="shared" si="42"/>
        <v>0</v>
      </c>
      <c r="P39" s="471">
        <f t="shared" si="42"/>
        <v>0</v>
      </c>
      <c r="Q39" s="471">
        <f>-$C39*Q25</f>
        <v>0</v>
      </c>
      <c r="R39" s="471">
        <f>-$C39*R25</f>
        <v>0</v>
      </c>
      <c r="S39" s="471">
        <f>-$C39*S25</f>
        <v>0</v>
      </c>
      <c r="T39" s="471">
        <f>-$C39*T25</f>
        <v>0</v>
      </c>
      <c r="U39" s="471">
        <f t="shared" ref="U39:AB39" si="43">-$C39*U25</f>
        <v>0</v>
      </c>
      <c r="V39" s="471">
        <f t="shared" si="43"/>
        <v>0</v>
      </c>
      <c r="W39" s="471">
        <f t="shared" si="43"/>
        <v>0</v>
      </c>
      <c r="X39" s="471">
        <f t="shared" si="43"/>
        <v>0</v>
      </c>
      <c r="Y39" s="471">
        <f t="shared" si="43"/>
        <v>0</v>
      </c>
      <c r="Z39" s="471">
        <f t="shared" si="43"/>
        <v>0</v>
      </c>
      <c r="AA39" s="471">
        <f t="shared" si="43"/>
        <v>0</v>
      </c>
      <c r="AB39" s="471">
        <f t="shared" si="43"/>
        <v>0</v>
      </c>
      <c r="AC39" s="471">
        <f>-$C39*AC25</f>
        <v>0</v>
      </c>
      <c r="AD39" s="471">
        <f>-$C39*AD25</f>
        <v>0</v>
      </c>
      <c r="AE39" s="471">
        <f>-$C39*AE25</f>
        <v>0</v>
      </c>
      <c r="AF39" s="471">
        <f>-$C39*AF25</f>
        <v>0</v>
      </c>
      <c r="AG39" s="471">
        <f t="shared" ref="AG39:AN39" si="44">-$C39*AG25</f>
        <v>0</v>
      </c>
      <c r="AH39" s="471">
        <f t="shared" si="44"/>
        <v>0</v>
      </c>
      <c r="AI39" s="471">
        <f t="shared" si="44"/>
        <v>0</v>
      </c>
      <c r="AJ39" s="471">
        <f t="shared" si="44"/>
        <v>0</v>
      </c>
      <c r="AK39" s="471">
        <f t="shared" si="44"/>
        <v>0</v>
      </c>
      <c r="AL39" s="471">
        <f t="shared" si="44"/>
        <v>0</v>
      </c>
      <c r="AM39" s="471">
        <f t="shared" si="44"/>
        <v>0</v>
      </c>
      <c r="AN39" s="471">
        <f t="shared" si="44"/>
        <v>0</v>
      </c>
    </row>
    <row r="40" spans="2:40">
      <c r="C40" s="452"/>
      <c r="D40" s="452"/>
      <c r="E40" s="452"/>
      <c r="F40" s="452"/>
      <c r="G40" s="452"/>
      <c r="H40" s="452"/>
      <c r="Q40" s="452"/>
      <c r="R40" s="452"/>
      <c r="S40" s="452"/>
      <c r="T40" s="452"/>
      <c r="AC40" s="452"/>
      <c r="AD40" s="452"/>
      <c r="AE40" s="452"/>
      <c r="AF40" s="452"/>
    </row>
    <row r="41" spans="2:40">
      <c r="B41" s="452"/>
      <c r="C41" s="452"/>
      <c r="D41" s="452"/>
      <c r="E41" s="452"/>
      <c r="F41" s="452"/>
      <c r="G41" s="452"/>
      <c r="H41" s="452"/>
      <c r="Q41" s="452"/>
      <c r="R41" s="452"/>
      <c r="S41" s="452"/>
      <c r="T41" s="452"/>
      <c r="AC41" s="452"/>
      <c r="AD41" s="452"/>
      <c r="AE41" s="452"/>
      <c r="AF41" s="452"/>
    </row>
    <row r="42" spans="2:40">
      <c r="B42" s="480" t="s">
        <v>651</v>
      </c>
      <c r="C42" s="452"/>
      <c r="D42" s="452"/>
      <c r="E42" s="452"/>
      <c r="F42" s="452"/>
      <c r="G42" s="452"/>
      <c r="H42" s="452"/>
      <c r="Q42" s="452"/>
      <c r="R42" s="452"/>
      <c r="S42" s="452"/>
      <c r="T42" s="452"/>
      <c r="AC42" s="452"/>
      <c r="AD42" s="452"/>
      <c r="AE42" s="452"/>
      <c r="AF42" s="452"/>
    </row>
    <row r="43" spans="2:40">
      <c r="B43" s="452" t="s">
        <v>652</v>
      </c>
      <c r="C43" s="450">
        <v>1000000</v>
      </c>
      <c r="D43" s="452"/>
      <c r="E43" s="471">
        <f>-$C43/12</f>
        <v>-83333.333333333328</v>
      </c>
      <c r="F43" s="471">
        <f t="shared" ref="F43:AN43" si="45">-$C43/12</f>
        <v>-83333.333333333328</v>
      </c>
      <c r="G43" s="471">
        <f t="shared" si="45"/>
        <v>-83333.333333333328</v>
      </c>
      <c r="H43" s="471">
        <f t="shared" si="45"/>
        <v>-83333.333333333328</v>
      </c>
      <c r="I43" s="471">
        <f t="shared" si="45"/>
        <v>-83333.333333333328</v>
      </c>
      <c r="J43" s="471">
        <f t="shared" si="45"/>
        <v>-83333.333333333328</v>
      </c>
      <c r="K43" s="471">
        <f t="shared" si="45"/>
        <v>-83333.333333333328</v>
      </c>
      <c r="L43" s="471">
        <f t="shared" si="45"/>
        <v>-83333.333333333328</v>
      </c>
      <c r="M43" s="471">
        <f t="shared" si="45"/>
        <v>-83333.333333333328</v>
      </c>
      <c r="N43" s="471">
        <f t="shared" si="45"/>
        <v>-83333.333333333328</v>
      </c>
      <c r="O43" s="471">
        <f t="shared" si="45"/>
        <v>-83333.333333333328</v>
      </c>
      <c r="P43" s="471">
        <f t="shared" si="45"/>
        <v>-83333.333333333328</v>
      </c>
      <c r="Q43" s="471">
        <f t="shared" si="45"/>
        <v>-83333.333333333328</v>
      </c>
      <c r="R43" s="471">
        <f t="shared" si="45"/>
        <v>-83333.333333333328</v>
      </c>
      <c r="S43" s="471">
        <f t="shared" si="45"/>
        <v>-83333.333333333328</v>
      </c>
      <c r="T43" s="471">
        <f t="shared" si="45"/>
        <v>-83333.333333333328</v>
      </c>
      <c r="U43" s="471">
        <f t="shared" si="45"/>
        <v>-83333.333333333328</v>
      </c>
      <c r="V43" s="471">
        <f t="shared" si="45"/>
        <v>-83333.333333333328</v>
      </c>
      <c r="W43" s="471">
        <f t="shared" si="45"/>
        <v>-83333.333333333328</v>
      </c>
      <c r="X43" s="471">
        <f t="shared" si="45"/>
        <v>-83333.333333333328</v>
      </c>
      <c r="Y43" s="471">
        <f t="shared" si="45"/>
        <v>-83333.333333333328</v>
      </c>
      <c r="Z43" s="471">
        <f t="shared" si="45"/>
        <v>-83333.333333333328</v>
      </c>
      <c r="AA43" s="471">
        <f t="shared" si="45"/>
        <v>-83333.333333333328</v>
      </c>
      <c r="AB43" s="471">
        <f t="shared" si="45"/>
        <v>-83333.333333333328</v>
      </c>
      <c r="AC43" s="471">
        <f t="shared" si="45"/>
        <v>-83333.333333333328</v>
      </c>
      <c r="AD43" s="471">
        <f t="shared" si="45"/>
        <v>-83333.333333333328</v>
      </c>
      <c r="AE43" s="471">
        <f t="shared" si="45"/>
        <v>-83333.333333333328</v>
      </c>
      <c r="AF43" s="471">
        <f t="shared" si="45"/>
        <v>-83333.333333333328</v>
      </c>
      <c r="AG43" s="471">
        <f t="shared" si="45"/>
        <v>-83333.333333333328</v>
      </c>
      <c r="AH43" s="471">
        <f t="shared" si="45"/>
        <v>-83333.333333333328</v>
      </c>
      <c r="AI43" s="471">
        <f t="shared" si="45"/>
        <v>-83333.333333333328</v>
      </c>
      <c r="AJ43" s="471">
        <f t="shared" si="45"/>
        <v>-83333.333333333328</v>
      </c>
      <c r="AK43" s="471">
        <f t="shared" si="45"/>
        <v>-83333.333333333328</v>
      </c>
      <c r="AL43" s="471">
        <f t="shared" si="45"/>
        <v>-83333.333333333328</v>
      </c>
      <c r="AM43" s="471">
        <f t="shared" si="45"/>
        <v>-83333.333333333328</v>
      </c>
      <c r="AN43" s="471">
        <f t="shared" si="45"/>
        <v>-83333.333333333328</v>
      </c>
    </row>
    <row r="44" spans="2:40">
      <c r="B44" s="452" t="s">
        <v>810</v>
      </c>
      <c r="C44" s="450">
        <v>500000</v>
      </c>
      <c r="D44" s="452"/>
      <c r="E44" s="471">
        <f>-$C$44/12</f>
        <v>-41666.666666666664</v>
      </c>
      <c r="F44" s="471">
        <f t="shared" ref="F44:AN44" si="46">-$C$44/12</f>
        <v>-41666.666666666664</v>
      </c>
      <c r="G44" s="471">
        <f t="shared" si="46"/>
        <v>-41666.666666666664</v>
      </c>
      <c r="H44" s="471">
        <f t="shared" si="46"/>
        <v>-41666.666666666664</v>
      </c>
      <c r="I44" s="471">
        <f t="shared" si="46"/>
        <v>-41666.666666666664</v>
      </c>
      <c r="J44" s="471">
        <f t="shared" si="46"/>
        <v>-41666.666666666664</v>
      </c>
      <c r="K44" s="471">
        <f t="shared" si="46"/>
        <v>-41666.666666666664</v>
      </c>
      <c r="L44" s="471">
        <f t="shared" si="46"/>
        <v>-41666.666666666664</v>
      </c>
      <c r="M44" s="471">
        <f t="shared" si="46"/>
        <v>-41666.666666666664</v>
      </c>
      <c r="N44" s="471">
        <f t="shared" si="46"/>
        <v>-41666.666666666664</v>
      </c>
      <c r="O44" s="471">
        <f t="shared" si="46"/>
        <v>-41666.666666666664</v>
      </c>
      <c r="P44" s="471">
        <f t="shared" si="46"/>
        <v>-41666.666666666664</v>
      </c>
      <c r="Q44" s="471">
        <f t="shared" si="46"/>
        <v>-41666.666666666664</v>
      </c>
      <c r="R44" s="471">
        <f t="shared" si="46"/>
        <v>-41666.666666666664</v>
      </c>
      <c r="S44" s="471">
        <f t="shared" si="46"/>
        <v>-41666.666666666664</v>
      </c>
      <c r="T44" s="471">
        <f t="shared" si="46"/>
        <v>-41666.666666666664</v>
      </c>
      <c r="U44" s="471">
        <f t="shared" si="46"/>
        <v>-41666.666666666664</v>
      </c>
      <c r="V44" s="471">
        <f t="shared" si="46"/>
        <v>-41666.666666666664</v>
      </c>
      <c r="W44" s="471">
        <f t="shared" si="46"/>
        <v>-41666.666666666664</v>
      </c>
      <c r="X44" s="471">
        <f t="shared" si="46"/>
        <v>-41666.666666666664</v>
      </c>
      <c r="Y44" s="471">
        <f t="shared" si="46"/>
        <v>-41666.666666666664</v>
      </c>
      <c r="Z44" s="471">
        <f t="shared" si="46"/>
        <v>-41666.666666666664</v>
      </c>
      <c r="AA44" s="471">
        <f t="shared" si="46"/>
        <v>-41666.666666666664</v>
      </c>
      <c r="AB44" s="471">
        <f t="shared" si="46"/>
        <v>-41666.666666666664</v>
      </c>
      <c r="AC44" s="471">
        <f t="shared" si="46"/>
        <v>-41666.666666666664</v>
      </c>
      <c r="AD44" s="471">
        <f t="shared" si="46"/>
        <v>-41666.666666666664</v>
      </c>
      <c r="AE44" s="471">
        <f t="shared" si="46"/>
        <v>-41666.666666666664</v>
      </c>
      <c r="AF44" s="471">
        <f t="shared" si="46"/>
        <v>-41666.666666666664</v>
      </c>
      <c r="AG44" s="471">
        <f t="shared" si="46"/>
        <v>-41666.666666666664</v>
      </c>
      <c r="AH44" s="471">
        <f t="shared" si="46"/>
        <v>-41666.666666666664</v>
      </c>
      <c r="AI44" s="471">
        <f t="shared" si="46"/>
        <v>-41666.666666666664</v>
      </c>
      <c r="AJ44" s="471">
        <f t="shared" si="46"/>
        <v>-41666.666666666664</v>
      </c>
      <c r="AK44" s="471">
        <f t="shared" si="46"/>
        <v>-41666.666666666664</v>
      </c>
      <c r="AL44" s="471">
        <f t="shared" si="46"/>
        <v>-41666.666666666664</v>
      </c>
      <c r="AM44" s="471">
        <f t="shared" si="46"/>
        <v>-41666.666666666664</v>
      </c>
      <c r="AN44" s="471">
        <f t="shared" si="46"/>
        <v>-41666.666666666664</v>
      </c>
    </row>
    <row r="45" spans="2:40">
      <c r="B45" s="452" t="s">
        <v>809</v>
      </c>
      <c r="C45" s="450">
        <v>75000</v>
      </c>
      <c r="D45" s="452"/>
      <c r="E45" s="471">
        <f t="shared" ref="E45:T47" si="47">-$C45</f>
        <v>-75000</v>
      </c>
      <c r="F45" s="471">
        <f t="shared" si="47"/>
        <v>-75000</v>
      </c>
      <c r="G45" s="471">
        <f t="shared" si="47"/>
        <v>-75000</v>
      </c>
      <c r="H45" s="471">
        <f t="shared" si="47"/>
        <v>-75000</v>
      </c>
      <c r="I45" s="471">
        <f t="shared" si="47"/>
        <v>-75000</v>
      </c>
      <c r="J45" s="471">
        <f t="shared" si="47"/>
        <v>-75000</v>
      </c>
      <c r="K45" s="471">
        <f t="shared" si="47"/>
        <v>-75000</v>
      </c>
      <c r="L45" s="471">
        <f t="shared" si="47"/>
        <v>-75000</v>
      </c>
      <c r="M45" s="471">
        <f t="shared" si="47"/>
        <v>-75000</v>
      </c>
      <c r="N45" s="471">
        <f t="shared" si="47"/>
        <v>-75000</v>
      </c>
      <c r="O45" s="471">
        <f t="shared" si="47"/>
        <v>-75000</v>
      </c>
      <c r="P45" s="471">
        <f t="shared" si="47"/>
        <v>-75000</v>
      </c>
      <c r="Q45" s="471">
        <f t="shared" si="47"/>
        <v>-75000</v>
      </c>
      <c r="R45" s="471">
        <f t="shared" si="47"/>
        <v>-75000</v>
      </c>
      <c r="S45" s="471">
        <f t="shared" si="47"/>
        <v>-75000</v>
      </c>
      <c r="T45" s="471">
        <f t="shared" si="47"/>
        <v>-75000</v>
      </c>
      <c r="U45" s="471">
        <f t="shared" ref="U45:AJ47" si="48">-$C45</f>
        <v>-75000</v>
      </c>
      <c r="V45" s="471">
        <f t="shared" si="48"/>
        <v>-75000</v>
      </c>
      <c r="W45" s="471">
        <f t="shared" si="48"/>
        <v>-75000</v>
      </c>
      <c r="X45" s="471">
        <f t="shared" si="48"/>
        <v>-75000</v>
      </c>
      <c r="Y45" s="471">
        <f t="shared" si="48"/>
        <v>-75000</v>
      </c>
      <c r="Z45" s="471">
        <f t="shared" si="48"/>
        <v>-75000</v>
      </c>
      <c r="AA45" s="471">
        <f t="shared" si="48"/>
        <v>-75000</v>
      </c>
      <c r="AB45" s="471">
        <f t="shared" si="48"/>
        <v>-75000</v>
      </c>
      <c r="AC45" s="471">
        <f t="shared" si="48"/>
        <v>-75000</v>
      </c>
      <c r="AD45" s="471">
        <f t="shared" si="48"/>
        <v>-75000</v>
      </c>
      <c r="AE45" s="471">
        <f t="shared" si="48"/>
        <v>-75000</v>
      </c>
      <c r="AF45" s="471">
        <f t="shared" si="48"/>
        <v>-75000</v>
      </c>
      <c r="AG45" s="471">
        <f t="shared" si="48"/>
        <v>-75000</v>
      </c>
      <c r="AH45" s="471">
        <f t="shared" si="48"/>
        <v>-75000</v>
      </c>
      <c r="AI45" s="471">
        <f t="shared" si="48"/>
        <v>-75000</v>
      </c>
      <c r="AJ45" s="471">
        <f t="shared" si="48"/>
        <v>-75000</v>
      </c>
      <c r="AK45" s="471">
        <f t="shared" ref="AG45:AN47" si="49">-$C45</f>
        <v>-75000</v>
      </c>
      <c r="AL45" s="471">
        <f t="shared" si="49"/>
        <v>-75000</v>
      </c>
      <c r="AM45" s="471">
        <f t="shared" si="49"/>
        <v>-75000</v>
      </c>
      <c r="AN45" s="471">
        <f t="shared" si="49"/>
        <v>-75000</v>
      </c>
    </row>
    <row r="46" spans="2:40">
      <c r="B46" s="452"/>
      <c r="C46" s="450">
        <v>0</v>
      </c>
      <c r="D46" s="452"/>
      <c r="E46" s="471">
        <f t="shared" si="47"/>
        <v>0</v>
      </c>
      <c r="F46" s="471">
        <f t="shared" si="47"/>
        <v>0</v>
      </c>
      <c r="G46" s="471">
        <f t="shared" si="47"/>
        <v>0</v>
      </c>
      <c r="H46" s="471">
        <f t="shared" si="47"/>
        <v>0</v>
      </c>
      <c r="I46" s="471">
        <f t="shared" si="47"/>
        <v>0</v>
      </c>
      <c r="J46" s="471">
        <f t="shared" si="47"/>
        <v>0</v>
      </c>
      <c r="K46" s="471">
        <f t="shared" si="47"/>
        <v>0</v>
      </c>
      <c r="L46" s="471">
        <f t="shared" si="47"/>
        <v>0</v>
      </c>
      <c r="M46" s="471">
        <f t="shared" si="47"/>
        <v>0</v>
      </c>
      <c r="N46" s="471">
        <f t="shared" si="47"/>
        <v>0</v>
      </c>
      <c r="O46" s="471">
        <f t="shared" si="47"/>
        <v>0</v>
      </c>
      <c r="P46" s="471">
        <f t="shared" si="47"/>
        <v>0</v>
      </c>
      <c r="Q46" s="471">
        <f t="shared" si="47"/>
        <v>0</v>
      </c>
      <c r="R46" s="471">
        <f t="shared" si="47"/>
        <v>0</v>
      </c>
      <c r="S46" s="471">
        <f t="shared" si="47"/>
        <v>0</v>
      </c>
      <c r="T46" s="471">
        <f t="shared" si="47"/>
        <v>0</v>
      </c>
      <c r="U46" s="471">
        <f t="shared" si="48"/>
        <v>0</v>
      </c>
      <c r="V46" s="471">
        <f t="shared" si="48"/>
        <v>0</v>
      </c>
      <c r="W46" s="471">
        <f t="shared" si="48"/>
        <v>0</v>
      </c>
      <c r="X46" s="471">
        <f t="shared" si="48"/>
        <v>0</v>
      </c>
      <c r="Y46" s="471">
        <f t="shared" si="48"/>
        <v>0</v>
      </c>
      <c r="Z46" s="471">
        <f t="shared" si="48"/>
        <v>0</v>
      </c>
      <c r="AA46" s="471">
        <f t="shared" si="48"/>
        <v>0</v>
      </c>
      <c r="AB46" s="471">
        <f t="shared" si="48"/>
        <v>0</v>
      </c>
      <c r="AC46" s="471">
        <f t="shared" si="48"/>
        <v>0</v>
      </c>
      <c r="AD46" s="471">
        <f t="shared" si="48"/>
        <v>0</v>
      </c>
      <c r="AE46" s="471">
        <f t="shared" si="48"/>
        <v>0</v>
      </c>
      <c r="AF46" s="471">
        <f t="shared" si="48"/>
        <v>0</v>
      </c>
      <c r="AG46" s="471">
        <f t="shared" si="49"/>
        <v>0</v>
      </c>
      <c r="AH46" s="471">
        <f t="shared" si="49"/>
        <v>0</v>
      </c>
      <c r="AI46" s="471">
        <f t="shared" si="49"/>
        <v>0</v>
      </c>
      <c r="AJ46" s="471">
        <f t="shared" si="49"/>
        <v>0</v>
      </c>
      <c r="AK46" s="471">
        <f t="shared" si="49"/>
        <v>0</v>
      </c>
      <c r="AL46" s="471">
        <f t="shared" si="49"/>
        <v>0</v>
      </c>
      <c r="AM46" s="471">
        <f t="shared" si="49"/>
        <v>0</v>
      </c>
      <c r="AN46" s="471">
        <f t="shared" si="49"/>
        <v>0</v>
      </c>
    </row>
    <row r="47" spans="2:40">
      <c r="B47" s="452"/>
      <c r="C47" s="450">
        <v>0</v>
      </c>
      <c r="D47" s="452"/>
      <c r="E47" s="471">
        <f t="shared" si="47"/>
        <v>0</v>
      </c>
      <c r="F47" s="471">
        <f t="shared" si="47"/>
        <v>0</v>
      </c>
      <c r="G47" s="471">
        <f t="shared" si="47"/>
        <v>0</v>
      </c>
      <c r="H47" s="471">
        <f t="shared" si="47"/>
        <v>0</v>
      </c>
      <c r="I47" s="471">
        <f t="shared" si="47"/>
        <v>0</v>
      </c>
      <c r="J47" s="471">
        <f t="shared" si="47"/>
        <v>0</v>
      </c>
      <c r="K47" s="471">
        <f t="shared" si="47"/>
        <v>0</v>
      </c>
      <c r="L47" s="471">
        <f t="shared" si="47"/>
        <v>0</v>
      </c>
      <c r="M47" s="471">
        <f t="shared" si="47"/>
        <v>0</v>
      </c>
      <c r="N47" s="471">
        <f t="shared" si="47"/>
        <v>0</v>
      </c>
      <c r="O47" s="471">
        <f t="shared" si="47"/>
        <v>0</v>
      </c>
      <c r="P47" s="471">
        <f t="shared" si="47"/>
        <v>0</v>
      </c>
      <c r="Q47" s="471">
        <f t="shared" si="47"/>
        <v>0</v>
      </c>
      <c r="R47" s="471">
        <f t="shared" si="47"/>
        <v>0</v>
      </c>
      <c r="S47" s="471">
        <f t="shared" si="47"/>
        <v>0</v>
      </c>
      <c r="T47" s="471">
        <f t="shared" si="47"/>
        <v>0</v>
      </c>
      <c r="U47" s="471">
        <f t="shared" si="48"/>
        <v>0</v>
      </c>
      <c r="V47" s="471">
        <f t="shared" si="48"/>
        <v>0</v>
      </c>
      <c r="W47" s="471">
        <f t="shared" si="48"/>
        <v>0</v>
      </c>
      <c r="X47" s="471">
        <f t="shared" si="48"/>
        <v>0</v>
      </c>
      <c r="Y47" s="471">
        <f t="shared" si="48"/>
        <v>0</v>
      </c>
      <c r="Z47" s="471">
        <f t="shared" si="48"/>
        <v>0</v>
      </c>
      <c r="AA47" s="471">
        <f t="shared" si="48"/>
        <v>0</v>
      </c>
      <c r="AB47" s="471">
        <f t="shared" si="48"/>
        <v>0</v>
      </c>
      <c r="AC47" s="471">
        <f t="shared" si="48"/>
        <v>0</v>
      </c>
      <c r="AD47" s="471">
        <f t="shared" si="48"/>
        <v>0</v>
      </c>
      <c r="AE47" s="471">
        <f t="shared" si="48"/>
        <v>0</v>
      </c>
      <c r="AF47" s="471">
        <f t="shared" si="48"/>
        <v>0</v>
      </c>
      <c r="AG47" s="471">
        <f t="shared" si="49"/>
        <v>0</v>
      </c>
      <c r="AH47" s="471">
        <f t="shared" si="49"/>
        <v>0</v>
      </c>
      <c r="AI47" s="471">
        <f t="shared" si="49"/>
        <v>0</v>
      </c>
      <c r="AJ47" s="471">
        <f t="shared" si="49"/>
        <v>0</v>
      </c>
      <c r="AK47" s="471">
        <f t="shared" si="49"/>
        <v>0</v>
      </c>
      <c r="AL47" s="471">
        <f t="shared" si="49"/>
        <v>0</v>
      </c>
      <c r="AM47" s="471">
        <f t="shared" si="49"/>
        <v>0</v>
      </c>
      <c r="AN47" s="471">
        <f t="shared" si="49"/>
        <v>0</v>
      </c>
    </row>
    <row r="48" spans="2:40">
      <c r="B48" s="452"/>
      <c r="C48" s="452"/>
      <c r="D48" s="452"/>
      <c r="E48" s="452"/>
      <c r="F48" s="452"/>
      <c r="G48" s="452"/>
      <c r="H48" s="452"/>
      <c r="Q48" s="452"/>
      <c r="R48" s="452"/>
      <c r="S48" s="452"/>
      <c r="T48" s="452"/>
      <c r="AC48" s="452"/>
      <c r="AD48" s="452"/>
      <c r="AE48" s="452"/>
      <c r="AF48" s="452"/>
    </row>
    <row r="49" spans="1:40">
      <c r="B49" s="480" t="s">
        <v>654</v>
      </c>
      <c r="C49" s="481">
        <v>0</v>
      </c>
      <c r="D49" s="452"/>
      <c r="E49" s="471">
        <f>-$C$49</f>
        <v>0</v>
      </c>
      <c r="F49" s="471">
        <f t="shared" ref="F49:AN49" si="50">-$C$49</f>
        <v>0</v>
      </c>
      <c r="G49" s="471">
        <f t="shared" si="50"/>
        <v>0</v>
      </c>
      <c r="H49" s="471">
        <f t="shared" si="50"/>
        <v>0</v>
      </c>
      <c r="I49" s="471">
        <f t="shared" si="50"/>
        <v>0</v>
      </c>
      <c r="J49" s="471">
        <f t="shared" si="50"/>
        <v>0</v>
      </c>
      <c r="K49" s="471">
        <f t="shared" si="50"/>
        <v>0</v>
      </c>
      <c r="L49" s="471">
        <f t="shared" si="50"/>
        <v>0</v>
      </c>
      <c r="M49" s="471">
        <f t="shared" si="50"/>
        <v>0</v>
      </c>
      <c r="N49" s="471">
        <f t="shared" si="50"/>
        <v>0</v>
      </c>
      <c r="O49" s="471">
        <f t="shared" si="50"/>
        <v>0</v>
      </c>
      <c r="P49" s="471">
        <f t="shared" si="50"/>
        <v>0</v>
      </c>
      <c r="Q49" s="471">
        <f>-$C$49</f>
        <v>0</v>
      </c>
      <c r="R49" s="471">
        <f t="shared" si="50"/>
        <v>0</v>
      </c>
      <c r="S49" s="471">
        <f t="shared" si="50"/>
        <v>0</v>
      </c>
      <c r="T49" s="471">
        <f t="shared" si="50"/>
        <v>0</v>
      </c>
      <c r="U49" s="471">
        <f t="shared" si="50"/>
        <v>0</v>
      </c>
      <c r="V49" s="471">
        <f t="shared" si="50"/>
        <v>0</v>
      </c>
      <c r="W49" s="471">
        <f t="shared" si="50"/>
        <v>0</v>
      </c>
      <c r="X49" s="471">
        <f t="shared" si="50"/>
        <v>0</v>
      </c>
      <c r="Y49" s="471">
        <f t="shared" si="50"/>
        <v>0</v>
      </c>
      <c r="Z49" s="471">
        <f t="shared" si="50"/>
        <v>0</v>
      </c>
      <c r="AA49" s="471">
        <f t="shared" si="50"/>
        <v>0</v>
      </c>
      <c r="AB49" s="471">
        <f t="shared" si="50"/>
        <v>0</v>
      </c>
      <c r="AC49" s="471">
        <f>-$C$49</f>
        <v>0</v>
      </c>
      <c r="AD49" s="471">
        <f t="shared" si="50"/>
        <v>0</v>
      </c>
      <c r="AE49" s="471">
        <f t="shared" si="50"/>
        <v>0</v>
      </c>
      <c r="AF49" s="471">
        <f t="shared" si="50"/>
        <v>0</v>
      </c>
      <c r="AG49" s="471">
        <f t="shared" si="50"/>
        <v>0</v>
      </c>
      <c r="AH49" s="471">
        <f t="shared" si="50"/>
        <v>0</v>
      </c>
      <c r="AI49" s="471">
        <f t="shared" si="50"/>
        <v>0</v>
      </c>
      <c r="AJ49" s="471">
        <f t="shared" si="50"/>
        <v>0</v>
      </c>
      <c r="AK49" s="471">
        <f t="shared" si="50"/>
        <v>0</v>
      </c>
      <c r="AL49" s="471">
        <f t="shared" si="50"/>
        <v>0</v>
      </c>
      <c r="AM49" s="471">
        <f t="shared" si="50"/>
        <v>0</v>
      </c>
      <c r="AN49" s="471">
        <f t="shared" si="50"/>
        <v>0</v>
      </c>
    </row>
    <row r="50" spans="1:40">
      <c r="B50" s="452" t="s">
        <v>898</v>
      </c>
      <c r="C50" s="450">
        <f>230000*1.45*3</f>
        <v>1000500</v>
      </c>
      <c r="D50" s="452"/>
      <c r="E50" s="452"/>
      <c r="F50" s="471">
        <f>-$C$50</f>
        <v>-1000500</v>
      </c>
      <c r="G50" s="471">
        <f t="shared" ref="G50:AN50" si="51">-$C$50</f>
        <v>-1000500</v>
      </c>
      <c r="H50" s="471">
        <f t="shared" si="51"/>
        <v>-1000500</v>
      </c>
      <c r="I50" s="471">
        <f t="shared" si="51"/>
        <v>-1000500</v>
      </c>
      <c r="J50" s="471">
        <f t="shared" si="51"/>
        <v>-1000500</v>
      </c>
      <c r="K50" s="471">
        <f t="shared" si="51"/>
        <v>-1000500</v>
      </c>
      <c r="L50" s="471">
        <f t="shared" si="51"/>
        <v>-1000500</v>
      </c>
      <c r="M50" s="471">
        <f t="shared" si="51"/>
        <v>-1000500</v>
      </c>
      <c r="N50" s="471">
        <f t="shared" si="51"/>
        <v>-1000500</v>
      </c>
      <c r="O50" s="471">
        <f t="shared" si="51"/>
        <v>-1000500</v>
      </c>
      <c r="P50" s="471">
        <f t="shared" si="51"/>
        <v>-1000500</v>
      </c>
      <c r="Q50" s="471">
        <f t="shared" si="51"/>
        <v>-1000500</v>
      </c>
      <c r="R50" s="471">
        <f t="shared" si="51"/>
        <v>-1000500</v>
      </c>
      <c r="S50" s="471">
        <f t="shared" si="51"/>
        <v>-1000500</v>
      </c>
      <c r="T50" s="471">
        <f t="shared" si="51"/>
        <v>-1000500</v>
      </c>
      <c r="U50" s="471">
        <f t="shared" si="51"/>
        <v>-1000500</v>
      </c>
      <c r="V50" s="471">
        <f t="shared" si="51"/>
        <v>-1000500</v>
      </c>
      <c r="W50" s="471">
        <f t="shared" si="51"/>
        <v>-1000500</v>
      </c>
      <c r="X50" s="471">
        <f t="shared" si="51"/>
        <v>-1000500</v>
      </c>
      <c r="Y50" s="471">
        <f t="shared" si="51"/>
        <v>-1000500</v>
      </c>
      <c r="Z50" s="471">
        <f t="shared" si="51"/>
        <v>-1000500</v>
      </c>
      <c r="AA50" s="471">
        <f t="shared" si="51"/>
        <v>-1000500</v>
      </c>
      <c r="AB50" s="471">
        <f t="shared" si="51"/>
        <v>-1000500</v>
      </c>
      <c r="AC50" s="471">
        <f t="shared" si="51"/>
        <v>-1000500</v>
      </c>
      <c r="AD50" s="471">
        <f t="shared" si="51"/>
        <v>-1000500</v>
      </c>
      <c r="AE50" s="471">
        <f t="shared" si="51"/>
        <v>-1000500</v>
      </c>
      <c r="AF50" s="471">
        <f t="shared" si="51"/>
        <v>-1000500</v>
      </c>
      <c r="AG50" s="471">
        <f t="shared" si="51"/>
        <v>-1000500</v>
      </c>
      <c r="AH50" s="471">
        <f t="shared" si="51"/>
        <v>-1000500</v>
      </c>
      <c r="AI50" s="471">
        <f t="shared" si="51"/>
        <v>-1000500</v>
      </c>
      <c r="AJ50" s="471">
        <f t="shared" si="51"/>
        <v>-1000500</v>
      </c>
      <c r="AK50" s="471">
        <f t="shared" si="51"/>
        <v>-1000500</v>
      </c>
      <c r="AL50" s="471">
        <f t="shared" si="51"/>
        <v>-1000500</v>
      </c>
      <c r="AM50" s="471">
        <f t="shared" si="51"/>
        <v>-1000500</v>
      </c>
      <c r="AN50" s="471">
        <f t="shared" si="51"/>
        <v>-1000500</v>
      </c>
    </row>
    <row r="51" spans="1:40">
      <c r="B51" s="452" t="s">
        <v>897</v>
      </c>
      <c r="C51" s="450">
        <f>70000*1.45*5</f>
        <v>507500</v>
      </c>
      <c r="D51" s="452"/>
      <c r="E51" s="452"/>
      <c r="F51" s="471">
        <f>-$C$51</f>
        <v>-507500</v>
      </c>
      <c r="G51" s="471">
        <f t="shared" ref="G51:AN51" si="52">-$C$51</f>
        <v>-507500</v>
      </c>
      <c r="H51" s="471">
        <f t="shared" si="52"/>
        <v>-507500</v>
      </c>
      <c r="I51" s="471">
        <f t="shared" si="52"/>
        <v>-507500</v>
      </c>
      <c r="J51" s="471">
        <f t="shared" si="52"/>
        <v>-507500</v>
      </c>
      <c r="K51" s="471">
        <f t="shared" si="52"/>
        <v>-507500</v>
      </c>
      <c r="L51" s="471">
        <f t="shared" si="52"/>
        <v>-507500</v>
      </c>
      <c r="M51" s="471">
        <f t="shared" si="52"/>
        <v>-507500</v>
      </c>
      <c r="N51" s="471">
        <f t="shared" si="52"/>
        <v>-507500</v>
      </c>
      <c r="O51" s="471">
        <f t="shared" si="52"/>
        <v>-507500</v>
      </c>
      <c r="P51" s="471">
        <f t="shared" si="52"/>
        <v>-507500</v>
      </c>
      <c r="Q51" s="471">
        <f t="shared" si="52"/>
        <v>-507500</v>
      </c>
      <c r="R51" s="471">
        <f t="shared" si="52"/>
        <v>-507500</v>
      </c>
      <c r="S51" s="471">
        <f t="shared" si="52"/>
        <v>-507500</v>
      </c>
      <c r="T51" s="471">
        <f t="shared" si="52"/>
        <v>-507500</v>
      </c>
      <c r="U51" s="471">
        <f t="shared" si="52"/>
        <v>-507500</v>
      </c>
      <c r="V51" s="471">
        <f t="shared" si="52"/>
        <v>-507500</v>
      </c>
      <c r="W51" s="471">
        <f t="shared" si="52"/>
        <v>-507500</v>
      </c>
      <c r="X51" s="471">
        <f t="shared" si="52"/>
        <v>-507500</v>
      </c>
      <c r="Y51" s="471">
        <f t="shared" si="52"/>
        <v>-507500</v>
      </c>
      <c r="Z51" s="471">
        <f t="shared" si="52"/>
        <v>-507500</v>
      </c>
      <c r="AA51" s="471">
        <f t="shared" si="52"/>
        <v>-507500</v>
      </c>
      <c r="AB51" s="471">
        <f t="shared" si="52"/>
        <v>-507500</v>
      </c>
      <c r="AC51" s="471">
        <f t="shared" si="52"/>
        <v>-507500</v>
      </c>
      <c r="AD51" s="471">
        <f t="shared" si="52"/>
        <v>-507500</v>
      </c>
      <c r="AE51" s="471">
        <f t="shared" si="52"/>
        <v>-507500</v>
      </c>
      <c r="AF51" s="471">
        <f t="shared" si="52"/>
        <v>-507500</v>
      </c>
      <c r="AG51" s="471">
        <f t="shared" si="52"/>
        <v>-507500</v>
      </c>
      <c r="AH51" s="471">
        <f t="shared" si="52"/>
        <v>-507500</v>
      </c>
      <c r="AI51" s="471">
        <f t="shared" si="52"/>
        <v>-507500</v>
      </c>
      <c r="AJ51" s="471">
        <f t="shared" si="52"/>
        <v>-507500</v>
      </c>
      <c r="AK51" s="471">
        <f t="shared" si="52"/>
        <v>-507500</v>
      </c>
      <c r="AL51" s="471">
        <f t="shared" si="52"/>
        <v>-507500</v>
      </c>
      <c r="AM51" s="471">
        <f t="shared" si="52"/>
        <v>-507500</v>
      </c>
      <c r="AN51" s="471">
        <f t="shared" si="52"/>
        <v>-507500</v>
      </c>
    </row>
    <row r="52" spans="1:40">
      <c r="B52" s="452"/>
      <c r="C52" s="450"/>
      <c r="D52" s="452"/>
      <c r="E52" s="452"/>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row>
    <row r="53" spans="1:40">
      <c r="B53" s="452" t="s">
        <v>176</v>
      </c>
      <c r="C53" s="452"/>
      <c r="D53" s="452"/>
      <c r="E53" s="482">
        <f>SUM(E23,E28:E31,E34:E40,E43:E47,E49:E49)</f>
        <v>-19051601.111111112</v>
      </c>
      <c r="F53" s="483">
        <f>SUM(F28:F51)+F23</f>
        <v>42380455.555555552</v>
      </c>
      <c r="G53" s="483">
        <f t="shared" ref="G53:AB53" si="53">SUM(G28:G51)+G23</f>
        <v>42380455.555555552</v>
      </c>
      <c r="H53" s="483">
        <f t="shared" si="53"/>
        <v>42380455.555555552</v>
      </c>
      <c r="I53" s="483">
        <f t="shared" si="53"/>
        <v>42380455.555555552</v>
      </c>
      <c r="J53" s="483">
        <f t="shared" si="53"/>
        <v>42380455.555555552</v>
      </c>
      <c r="K53" s="483">
        <f t="shared" si="53"/>
        <v>42380455.555555552</v>
      </c>
      <c r="L53" s="483">
        <f t="shared" si="53"/>
        <v>42380455.555555552</v>
      </c>
      <c r="M53" s="483">
        <f t="shared" si="53"/>
        <v>42380455.555555552</v>
      </c>
      <c r="N53" s="483">
        <f t="shared" si="53"/>
        <v>42380455.555555552</v>
      </c>
      <c r="O53" s="483">
        <f t="shared" si="53"/>
        <v>42380455.555555552</v>
      </c>
      <c r="P53" s="483">
        <f t="shared" si="53"/>
        <v>42380455.555555552</v>
      </c>
      <c r="Q53" s="483">
        <f t="shared" si="53"/>
        <v>43703068.222222224</v>
      </c>
      <c r="R53" s="483">
        <f t="shared" si="53"/>
        <v>43703068.222222224</v>
      </c>
      <c r="S53" s="483">
        <f t="shared" si="53"/>
        <v>43703068.222222224</v>
      </c>
      <c r="T53" s="483">
        <f t="shared" si="53"/>
        <v>43703068.222222224</v>
      </c>
      <c r="U53" s="483">
        <f t="shared" si="53"/>
        <v>43703068.222222224</v>
      </c>
      <c r="V53" s="483">
        <f t="shared" si="53"/>
        <v>43703068.222222224</v>
      </c>
      <c r="W53" s="483">
        <f t="shared" si="53"/>
        <v>43703068.222222224</v>
      </c>
      <c r="X53" s="483">
        <f t="shared" si="53"/>
        <v>43703068.222222224</v>
      </c>
      <c r="Y53" s="483">
        <f t="shared" si="53"/>
        <v>43703068.222222224</v>
      </c>
      <c r="Z53" s="483">
        <f t="shared" si="53"/>
        <v>43703068.222222224</v>
      </c>
      <c r="AA53" s="483">
        <f t="shared" si="53"/>
        <v>43703068.222222224</v>
      </c>
      <c r="AB53" s="483">
        <f t="shared" si="53"/>
        <v>43703068.222222224</v>
      </c>
      <c r="AC53" s="483">
        <f t="shared" ref="AC53:AN53" si="54">SUM(AC28:AC51)+AC23</f>
        <v>-56819077.777777776</v>
      </c>
      <c r="AD53" s="483">
        <f t="shared" si="54"/>
        <v>-31820669.377777774</v>
      </c>
      <c r="AE53" s="483">
        <f t="shared" si="54"/>
        <v>28669232.822222233</v>
      </c>
      <c r="AF53" s="483">
        <f t="shared" si="54"/>
        <v>28669232.822222233</v>
      </c>
      <c r="AG53" s="483">
        <f t="shared" si="54"/>
        <v>28669232.822222233</v>
      </c>
      <c r="AH53" s="483">
        <f t="shared" si="54"/>
        <v>28669232.822222233</v>
      </c>
      <c r="AI53" s="483">
        <f t="shared" si="54"/>
        <v>28669232.822222233</v>
      </c>
      <c r="AJ53" s="483">
        <f t="shared" si="54"/>
        <v>28669232.822222233</v>
      </c>
      <c r="AK53" s="483">
        <f t="shared" si="54"/>
        <v>28669232.822222233</v>
      </c>
      <c r="AL53" s="483">
        <f t="shared" si="54"/>
        <v>28669232.822222233</v>
      </c>
      <c r="AM53" s="483">
        <f t="shared" si="54"/>
        <v>28669232.822222233</v>
      </c>
      <c r="AN53" s="483">
        <f t="shared" si="54"/>
        <v>28669232.822222233</v>
      </c>
    </row>
    <row r="54" spans="1:40">
      <c r="B54" s="484" t="s">
        <v>657</v>
      </c>
      <c r="C54" s="485"/>
      <c r="D54" s="486"/>
      <c r="E54" s="627">
        <f>E53</f>
        <v>-19051601.111111112</v>
      </c>
      <c r="F54" s="628">
        <f>E54+F53</f>
        <v>23328854.44444444</v>
      </c>
      <c r="G54" s="628">
        <f t="shared" ref="G54:O54" si="55">F54+G53</f>
        <v>65709309.999999993</v>
      </c>
      <c r="H54" s="628">
        <f t="shared" si="55"/>
        <v>108089765.55555555</v>
      </c>
      <c r="I54" s="628">
        <f t="shared" si="55"/>
        <v>150470221.1111111</v>
      </c>
      <c r="J54" s="628">
        <f t="shared" si="55"/>
        <v>192850676.66666666</v>
      </c>
      <c r="K54" s="628">
        <f t="shared" si="55"/>
        <v>235231132.22222221</v>
      </c>
      <c r="L54" s="628">
        <f t="shared" si="55"/>
        <v>277611587.77777779</v>
      </c>
      <c r="M54" s="628">
        <f t="shared" si="55"/>
        <v>319992043.33333337</v>
      </c>
      <c r="N54" s="628">
        <f t="shared" si="55"/>
        <v>362372498.88888896</v>
      </c>
      <c r="O54" s="628">
        <f t="shared" si="55"/>
        <v>404752954.44444454</v>
      </c>
      <c r="P54" s="628">
        <f>O54+P53</f>
        <v>447133410.00000012</v>
      </c>
      <c r="Q54" s="627">
        <f>P54+Q53</f>
        <v>490836478.22222233</v>
      </c>
      <c r="R54" s="628">
        <f>Q54+R53</f>
        <v>534539546.44444454</v>
      </c>
      <c r="S54" s="628">
        <f t="shared" ref="S54:AB54" si="56">R54+S53</f>
        <v>578242614.66666675</v>
      </c>
      <c r="T54" s="628">
        <f t="shared" si="56"/>
        <v>621945682.88888896</v>
      </c>
      <c r="U54" s="628">
        <f t="shared" si="56"/>
        <v>665648751.11111116</v>
      </c>
      <c r="V54" s="628">
        <f t="shared" si="56"/>
        <v>709351819.33333337</v>
      </c>
      <c r="W54" s="628">
        <f t="shared" si="56"/>
        <v>753054887.55555558</v>
      </c>
      <c r="X54" s="628">
        <f t="shared" si="56"/>
        <v>796757955.77777779</v>
      </c>
      <c r="Y54" s="628">
        <f t="shared" si="56"/>
        <v>840461024</v>
      </c>
      <c r="Z54" s="628">
        <f t="shared" si="56"/>
        <v>884164092.22222221</v>
      </c>
      <c r="AA54" s="628">
        <f t="shared" si="56"/>
        <v>927867160.44444442</v>
      </c>
      <c r="AB54" s="628">
        <f t="shared" si="56"/>
        <v>971570228.66666663</v>
      </c>
      <c r="AC54" s="627">
        <f t="shared" ref="AC54:AN54" si="57">AB54+AC53</f>
        <v>914751150.88888884</v>
      </c>
      <c r="AD54" s="628">
        <f t="shared" si="57"/>
        <v>882930481.51111102</v>
      </c>
      <c r="AE54" s="628">
        <f t="shared" si="57"/>
        <v>911599714.33333325</v>
      </c>
      <c r="AF54" s="628">
        <f t="shared" si="57"/>
        <v>940268947.15555549</v>
      </c>
      <c r="AG54" s="628">
        <f t="shared" si="57"/>
        <v>968938179.97777772</v>
      </c>
      <c r="AH54" s="628">
        <f t="shared" si="57"/>
        <v>997607412.79999995</v>
      </c>
      <c r="AI54" s="628">
        <f t="shared" si="57"/>
        <v>1026276645.6222222</v>
      </c>
      <c r="AJ54" s="628">
        <f t="shared" si="57"/>
        <v>1054945878.4444444</v>
      </c>
      <c r="AK54" s="628">
        <f t="shared" si="57"/>
        <v>1083615111.2666667</v>
      </c>
      <c r="AL54" s="628">
        <f t="shared" si="57"/>
        <v>1112284344.0888889</v>
      </c>
      <c r="AM54" s="628">
        <f t="shared" si="57"/>
        <v>1140953576.9111111</v>
      </c>
      <c r="AN54" s="628">
        <f t="shared" si="57"/>
        <v>1169622809.7333333</v>
      </c>
    </row>
    <row r="56" spans="1:40" ht="15" customHeight="1">
      <c r="AD56" s="384" t="s">
        <v>909</v>
      </c>
    </row>
    <row r="57" spans="1:40" ht="15" customHeight="1">
      <c r="AD57" s="384" t="s">
        <v>910</v>
      </c>
    </row>
    <row r="58" spans="1:40">
      <c r="A58" s="384" t="s">
        <v>658</v>
      </c>
      <c r="E58" s="469"/>
      <c r="F58" s="490"/>
      <c r="AD58" s="384" t="s">
        <v>911</v>
      </c>
    </row>
    <row r="59" spans="1:40">
      <c r="E59" s="469"/>
      <c r="F59" s="490"/>
    </row>
    <row r="60" spans="1:40" ht="14.25">
      <c r="B60" s="793"/>
      <c r="E60" s="626" t="s">
        <v>659</v>
      </c>
      <c r="F60" s="492">
        <f>MIN(E54:AB54)</f>
        <v>-19051601.111111112</v>
      </c>
      <c r="G60" s="384" t="s">
        <v>660</v>
      </c>
    </row>
    <row r="61" spans="1:40">
      <c r="B61" s="793"/>
      <c r="E61" s="469"/>
      <c r="F61" s="490"/>
    </row>
    <row r="62" spans="1:40" ht="15" customHeight="1">
      <c r="B62" s="793"/>
      <c r="F62" s="493"/>
      <c r="G62" s="384" t="s">
        <v>661</v>
      </c>
    </row>
    <row r="63" spans="1:40" ht="15" customHeight="1">
      <c r="G63" s="384" t="s">
        <v>662</v>
      </c>
    </row>
    <row r="64" spans="1:40" ht="15" customHeight="1">
      <c r="G64" s="384" t="s">
        <v>663</v>
      </c>
    </row>
    <row r="67" spans="2:11" ht="15" customHeight="1">
      <c r="B67" s="384" t="s">
        <v>664</v>
      </c>
      <c r="F67" s="1728" t="s">
        <v>665</v>
      </c>
      <c r="G67" s="1728"/>
      <c r="H67" s="1728"/>
      <c r="I67" s="1728"/>
      <c r="J67" s="1728"/>
    </row>
    <row r="68" spans="2:11" ht="15" customHeight="1" thickBot="1">
      <c r="B68" s="494" t="s">
        <v>666</v>
      </c>
      <c r="C68" s="494"/>
      <c r="D68" s="494"/>
      <c r="E68" s="495"/>
      <c r="F68" s="449" t="s">
        <v>667</v>
      </c>
      <c r="G68" s="494"/>
      <c r="H68" s="494"/>
      <c r="I68" s="494"/>
      <c r="J68" s="494"/>
    </row>
    <row r="69" spans="2:11" ht="15" customHeight="1" thickTop="1" thickBot="1">
      <c r="B69" s="494" t="s">
        <v>668</v>
      </c>
      <c r="C69" s="494"/>
      <c r="D69" s="496">
        <v>120000</v>
      </c>
      <c r="F69" s="494" t="s">
        <v>427</v>
      </c>
      <c r="G69" s="494" t="s">
        <v>177</v>
      </c>
      <c r="H69" s="494" t="s">
        <v>669</v>
      </c>
      <c r="I69" s="494" t="s">
        <v>670</v>
      </c>
      <c r="J69" s="494" t="s">
        <v>671</v>
      </c>
    </row>
    <row r="70" spans="2:11" ht="15" customHeight="1" thickTop="1" thickBot="1">
      <c r="B70" s="494" t="s">
        <v>672</v>
      </c>
      <c r="C70" s="494"/>
      <c r="D70" s="496">
        <v>100000</v>
      </c>
      <c r="F70" s="494">
        <v>0</v>
      </c>
      <c r="G70" s="496">
        <v>0</v>
      </c>
      <c r="H70" s="497">
        <v>0</v>
      </c>
      <c r="I70" s="498">
        <v>0</v>
      </c>
      <c r="J70" s="499">
        <f>F60</f>
        <v>-19051601.111111112</v>
      </c>
      <c r="K70" s="419"/>
    </row>
    <row r="71" spans="2:11" ht="15" customHeight="1" thickTop="1" thickBot="1">
      <c r="B71" s="494" t="s">
        <v>674</v>
      </c>
      <c r="C71" s="494"/>
      <c r="D71" s="496">
        <v>80000</v>
      </c>
      <c r="F71" s="494">
        <v>1</v>
      </c>
      <c r="G71" s="384">
        <v>140000</v>
      </c>
      <c r="H71" s="497">
        <v>0</v>
      </c>
      <c r="I71" s="498">
        <f>J70</f>
        <v>-19051601.111111112</v>
      </c>
      <c r="J71" s="500">
        <f>I71*H72</f>
        <v>-3810320.2222222215</v>
      </c>
    </row>
    <row r="72" spans="2:11" ht="15" customHeight="1" thickTop="1" thickBot="1">
      <c r="B72" s="494" t="s">
        <v>676</v>
      </c>
      <c r="C72" s="494"/>
      <c r="D72" s="496">
        <v>630000</v>
      </c>
      <c r="F72" s="494">
        <v>2</v>
      </c>
      <c r="G72" s="384">
        <v>168000</v>
      </c>
      <c r="H72" s="497">
        <f>G72/G71-1</f>
        <v>0.19999999999999996</v>
      </c>
      <c r="I72" s="498">
        <f>I71+J71</f>
        <v>-22861921.333333332</v>
      </c>
      <c r="J72" s="500">
        <f>I72*H73</f>
        <v>6858576.4000000004</v>
      </c>
    </row>
    <row r="73" spans="2:11" ht="15" customHeight="1" thickTop="1" thickBot="1">
      <c r="B73" s="501"/>
      <c r="C73" s="501" t="s">
        <v>677</v>
      </c>
      <c r="D73" s="496">
        <f>(D69-D70)*(D72/D71)</f>
        <v>157500</v>
      </c>
      <c r="F73" s="494">
        <v>3</v>
      </c>
      <c r="G73" s="384">
        <v>117600</v>
      </c>
      <c r="H73" s="497">
        <f>G73/G72-1</f>
        <v>-0.30000000000000004</v>
      </c>
      <c r="I73" s="498">
        <f>I72+J72</f>
        <v>-16003344.933333332</v>
      </c>
      <c r="J73" s="500">
        <f>I73*H74</f>
        <v>4801003.4800000004</v>
      </c>
    </row>
    <row r="74" spans="2:11" ht="15" customHeight="1" thickTop="1">
      <c r="F74" s="494">
        <v>4</v>
      </c>
      <c r="G74" s="384">
        <v>82320</v>
      </c>
      <c r="H74" s="497">
        <f>G74/G73-1</f>
        <v>-0.30000000000000004</v>
      </c>
      <c r="I74" s="498">
        <f>I73+J73</f>
        <v>-11202341.453333331</v>
      </c>
      <c r="J74" s="500">
        <f>I74*H75</f>
        <v>3360702.4359999998</v>
      </c>
    </row>
    <row r="75" spans="2:11" ht="15" customHeight="1">
      <c r="F75" s="494">
        <v>5</v>
      </c>
      <c r="G75" s="384">
        <v>57624</v>
      </c>
      <c r="H75" s="497">
        <f>G75/G74-1</f>
        <v>-0.30000000000000004</v>
      </c>
      <c r="I75" s="498">
        <f>I74+J74</f>
        <v>-7841639.0173333315</v>
      </c>
      <c r="J75" s="500">
        <f>I75*H76</f>
        <v>0</v>
      </c>
    </row>
    <row r="76" spans="2:11" ht="15" customHeight="1">
      <c r="G76" s="419" t="s">
        <v>678</v>
      </c>
    </row>
    <row r="81" spans="2:13" ht="15" customHeight="1" thickBot="1"/>
    <row r="82" spans="2:13" ht="15" customHeight="1" thickBot="1">
      <c r="B82" s="1729" t="s">
        <v>679</v>
      </c>
      <c r="C82" s="1730"/>
      <c r="D82" s="1730"/>
      <c r="E82" s="1730"/>
      <c r="F82" s="1731"/>
    </row>
    <row r="83" spans="2:13" ht="15" customHeight="1">
      <c r="B83" s="502" t="s">
        <v>680</v>
      </c>
      <c r="C83" s="503" t="s">
        <v>681</v>
      </c>
      <c r="D83" s="503" t="s">
        <v>682</v>
      </c>
      <c r="E83" s="503" t="s">
        <v>683</v>
      </c>
      <c r="F83" s="504" t="s">
        <v>684</v>
      </c>
    </row>
    <row r="84" spans="2:13" ht="15" customHeight="1">
      <c r="B84" s="505" t="s">
        <v>685</v>
      </c>
      <c r="C84" s="506">
        <v>1</v>
      </c>
      <c r="D84" s="507">
        <v>330000</v>
      </c>
      <c r="E84" s="508">
        <v>0.4</v>
      </c>
      <c r="F84" s="509">
        <f>D84*(1+E84)*13*C84</f>
        <v>6005999.9999999991</v>
      </c>
    </row>
    <row r="85" spans="2:13" ht="15" customHeight="1">
      <c r="B85" s="505" t="s">
        <v>686</v>
      </c>
      <c r="C85" s="506">
        <v>4</v>
      </c>
      <c r="D85" s="507">
        <v>170000</v>
      </c>
      <c r="E85" s="510">
        <v>0.4</v>
      </c>
      <c r="F85" s="509">
        <f>D85*(1+E85)*13*C85</f>
        <v>12375999.999999998</v>
      </c>
    </row>
    <row r="86" spans="2:13" ht="15" customHeight="1" thickBot="1">
      <c r="B86" s="511"/>
      <c r="C86" s="512"/>
      <c r="D86" s="513"/>
      <c r="E86" s="512"/>
      <c r="F86" s="514">
        <f>D86*(1+E86)*13*C86</f>
        <v>0</v>
      </c>
    </row>
    <row r="87" spans="2:13" ht="15" customHeight="1" thickBot="1">
      <c r="C87" s="515"/>
      <c r="D87" s="515"/>
      <c r="E87" s="516" t="s">
        <v>176</v>
      </c>
      <c r="F87" s="517">
        <f>SUM(F84:F86)</f>
        <v>18381999.999999996</v>
      </c>
    </row>
    <row r="88" spans="2:13" ht="15" customHeight="1" thickBot="1"/>
    <row r="89" spans="2:13" ht="15" customHeight="1" thickBot="1">
      <c r="B89" s="1732" t="s">
        <v>576</v>
      </c>
      <c r="C89" s="1733"/>
      <c r="D89" s="1733"/>
      <c r="E89" s="1733"/>
      <c r="F89" s="1733"/>
      <c r="G89" s="1733"/>
      <c r="H89" s="1733"/>
      <c r="I89" s="1733"/>
      <c r="J89" s="1733"/>
      <c r="K89" s="1734"/>
    </row>
    <row r="90" spans="2:13" ht="15" customHeight="1">
      <c r="B90" s="518" t="s">
        <v>577</v>
      </c>
      <c r="C90" s="519" t="s">
        <v>578</v>
      </c>
      <c r="D90" s="520" t="s">
        <v>579</v>
      </c>
      <c r="E90" s="520" t="s">
        <v>102</v>
      </c>
      <c r="F90" s="520" t="s">
        <v>580</v>
      </c>
      <c r="G90" s="520" t="s">
        <v>581</v>
      </c>
      <c r="H90" s="520" t="s">
        <v>582</v>
      </c>
      <c r="I90" s="521" t="s">
        <v>583</v>
      </c>
      <c r="J90" s="522" t="s">
        <v>584</v>
      </c>
      <c r="K90" s="518" t="s">
        <v>585</v>
      </c>
      <c r="M90" s="518" t="s">
        <v>586</v>
      </c>
    </row>
    <row r="91" spans="2:13" ht="15" customHeight="1">
      <c r="B91" s="523" t="s">
        <v>587</v>
      </c>
      <c r="C91" s="524">
        <v>580</v>
      </c>
      <c r="D91" s="506" t="s">
        <v>519</v>
      </c>
      <c r="E91" s="525"/>
      <c r="F91" s="525">
        <v>0.2</v>
      </c>
      <c r="G91" s="526">
        <f>1-F91</f>
        <v>0.8</v>
      </c>
      <c r="H91" s="527">
        <f>C91/G91</f>
        <v>725</v>
      </c>
      <c r="I91" s="506">
        <v>5</v>
      </c>
      <c r="J91" s="528">
        <f>I91*H91*(1+E91)</f>
        <v>3625</v>
      </c>
      <c r="K91" s="1735">
        <f>SUM(J91:J95)</f>
        <v>4354.5</v>
      </c>
      <c r="L91" s="1717" t="s">
        <v>588</v>
      </c>
      <c r="M91" s="1718">
        <f>SUM(K91,L95)</f>
        <v>4554.5</v>
      </c>
    </row>
    <row r="92" spans="2:13" ht="15" customHeight="1">
      <c r="B92" s="523" t="s">
        <v>589</v>
      </c>
      <c r="C92" s="524">
        <v>100</v>
      </c>
      <c r="D92" s="506" t="s">
        <v>519</v>
      </c>
      <c r="E92" s="525">
        <v>0.1</v>
      </c>
      <c r="F92" s="525"/>
      <c r="G92" s="526">
        <f>1-F92</f>
        <v>1</v>
      </c>
      <c r="H92" s="527">
        <f>C92/G92</f>
        <v>100</v>
      </c>
      <c r="I92" s="526">
        <v>1</v>
      </c>
      <c r="J92" s="528">
        <f>I92*C92*(1+E92)</f>
        <v>110.00000000000001</v>
      </c>
      <c r="K92" s="1736"/>
      <c r="L92" s="1717"/>
      <c r="M92" s="1718"/>
    </row>
    <row r="93" spans="2:13" ht="15" customHeight="1">
      <c r="B93" s="523" t="s">
        <v>590</v>
      </c>
      <c r="C93" s="524">
        <v>150</v>
      </c>
      <c r="D93" s="506" t="s">
        <v>591</v>
      </c>
      <c r="E93" s="525"/>
      <c r="F93" s="525"/>
      <c r="G93" s="526">
        <f>1-F93</f>
        <v>1</v>
      </c>
      <c r="H93" s="527">
        <f>C93/G93</f>
        <v>150</v>
      </c>
      <c r="I93" s="506">
        <v>0.35</v>
      </c>
      <c r="J93" s="528">
        <f>I93*C93*(1+E93)</f>
        <v>52.5</v>
      </c>
      <c r="K93" s="1736"/>
      <c r="L93" s="1717"/>
      <c r="M93" s="1718"/>
    </row>
    <row r="94" spans="2:13" ht="15" customHeight="1">
      <c r="B94" s="523" t="s">
        <v>592</v>
      </c>
      <c r="C94" s="524">
        <v>63</v>
      </c>
      <c r="D94" s="506" t="s">
        <v>591</v>
      </c>
      <c r="E94" s="525"/>
      <c r="F94" s="525"/>
      <c r="G94" s="526">
        <f>1-F94</f>
        <v>1</v>
      </c>
      <c r="H94" s="527">
        <f>C94/G94</f>
        <v>63</v>
      </c>
      <c r="I94" s="506">
        <v>8</v>
      </c>
      <c r="J94" s="528">
        <f>I94*C94*(1+E94)</f>
        <v>504</v>
      </c>
      <c r="K94" s="1736"/>
      <c r="L94" s="1717"/>
      <c r="M94" s="1718"/>
    </row>
    <row r="95" spans="2:13" ht="15" customHeight="1" thickBot="1">
      <c r="B95" s="529" t="s">
        <v>593</v>
      </c>
      <c r="C95" s="530">
        <v>63</v>
      </c>
      <c r="D95" s="512" t="s">
        <v>594</v>
      </c>
      <c r="E95" s="531"/>
      <c r="F95" s="531"/>
      <c r="G95" s="526">
        <f>1-F95</f>
        <v>1</v>
      </c>
      <c r="H95" s="527">
        <f>C95/G95</f>
        <v>63</v>
      </c>
      <c r="I95" s="512">
        <v>1</v>
      </c>
      <c r="J95" s="528">
        <f>I95*C95*(1+E95)</f>
        <v>63</v>
      </c>
      <c r="K95" s="1737"/>
      <c r="L95" s="532">
        <v>200</v>
      </c>
      <c r="M95" s="1718"/>
    </row>
    <row r="96" spans="2:13" ht="15" customHeight="1">
      <c r="C96" s="419" t="s">
        <v>595</v>
      </c>
      <c r="E96" s="1719" t="s">
        <v>596</v>
      </c>
      <c r="F96" s="1720"/>
      <c r="I96" s="419" t="s">
        <v>595</v>
      </c>
      <c r="L96" s="419" t="s">
        <v>597</v>
      </c>
    </row>
  </sheetData>
  <mergeCells count="14">
    <mergeCell ref="E96:F96"/>
    <mergeCell ref="B2:C4"/>
    <mergeCell ref="E5:P5"/>
    <mergeCell ref="Q5:AB5"/>
    <mergeCell ref="E20:P20"/>
    <mergeCell ref="Q20:AB20"/>
    <mergeCell ref="F67:J67"/>
    <mergeCell ref="AC5:AN5"/>
    <mergeCell ref="AC20:AN20"/>
    <mergeCell ref="B82:F82"/>
    <mergeCell ref="B89:K89"/>
    <mergeCell ref="K91:K95"/>
    <mergeCell ref="L91:L94"/>
    <mergeCell ref="M91:M95"/>
  </mergeCells>
  <phoneticPr fontId="75" type="noConversion"/>
  <conditionalFormatting sqref="B82">
    <cfRule type="containsText" dxfId="19" priority="1" operator="containsText" text="999">
      <formula>NOT(ISERROR(SEARCH(("999"),(B82))))</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6"/>
  <sheetViews>
    <sheetView workbookViewId="0"/>
  </sheetViews>
  <sheetFormatPr defaultColWidth="14.42578125" defaultRowHeight="15.75" customHeight="1"/>
  <cols>
    <col min="2" max="2" width="29.7109375" customWidth="1"/>
    <col min="3" max="3" width="21.28515625" customWidth="1"/>
  </cols>
  <sheetData>
    <row r="1" spans="1:26">
      <c r="A1" s="1" t="s">
        <v>0</v>
      </c>
      <c r="B1" s="2" t="s">
        <v>14</v>
      </c>
      <c r="C1" s="2" t="s">
        <v>2</v>
      </c>
      <c r="D1" s="1" t="s">
        <v>3</v>
      </c>
      <c r="E1" s="2" t="s">
        <v>4</v>
      </c>
      <c r="F1" s="2" t="s">
        <v>5</v>
      </c>
      <c r="G1" s="2"/>
      <c r="H1" s="2"/>
      <c r="I1" s="2"/>
      <c r="J1" s="2"/>
      <c r="K1" s="2"/>
      <c r="L1" s="2"/>
      <c r="M1" s="2"/>
      <c r="N1" s="2"/>
      <c r="O1" s="2"/>
      <c r="P1" s="2"/>
      <c r="Q1" s="2"/>
      <c r="R1" s="2"/>
      <c r="S1" s="2"/>
      <c r="T1" s="2"/>
      <c r="U1" s="2"/>
      <c r="V1" s="2"/>
      <c r="W1" s="2"/>
      <c r="X1" s="2"/>
      <c r="Y1" s="2"/>
      <c r="Z1" s="2"/>
    </row>
    <row r="2" spans="1:26">
      <c r="A2" s="3">
        <v>0.12</v>
      </c>
      <c r="B2" s="4">
        <v>1</v>
      </c>
      <c r="C2" s="4">
        <v>1</v>
      </c>
      <c r="D2" s="3">
        <f>((1+(A2/B2))^C2)-1</f>
        <v>0.12000000000000011</v>
      </c>
      <c r="E2" s="4">
        <v>10000</v>
      </c>
      <c r="F2" s="5">
        <f>E2*(1+D2)</f>
        <v>11200.000000000002</v>
      </c>
    </row>
    <row r="3" spans="1:26">
      <c r="A3" s="3">
        <v>0.11700000000000001</v>
      </c>
      <c r="B3" s="4">
        <v>2</v>
      </c>
      <c r="C3" s="4">
        <v>2</v>
      </c>
      <c r="D3" s="3">
        <f>((1+(A3/B3))^C3)-1</f>
        <v>0.12042225000000006</v>
      </c>
      <c r="E3" s="4">
        <v>10000</v>
      </c>
      <c r="F3" s="5">
        <f>E3*(1+D3)</f>
        <v>11204.2225</v>
      </c>
    </row>
    <row r="4" spans="1:26">
      <c r="A4" s="1">
        <v>0.115</v>
      </c>
      <c r="B4" s="2">
        <v>12</v>
      </c>
      <c r="C4" s="2">
        <v>12</v>
      </c>
      <c r="D4" s="1">
        <f>((1+(A4/B4))^C4)-1</f>
        <v>0.12125932813801632</v>
      </c>
      <c r="E4" s="2">
        <v>10000</v>
      </c>
      <c r="F4" s="6">
        <f>E4*(1+D4)</f>
        <v>11212.593281380163</v>
      </c>
    </row>
    <row r="5" spans="1:26">
      <c r="D5" s="3"/>
    </row>
    <row r="6" spans="1:26">
      <c r="D6" s="3"/>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8DC8A-B6A1-452E-8927-02B98F7BD6FF}">
  <dimension ref="A2:Y214"/>
  <sheetViews>
    <sheetView topLeftCell="C1" workbookViewId="0">
      <selection activeCell="C182" sqref="C182"/>
    </sheetView>
  </sheetViews>
  <sheetFormatPr defaultRowHeight="12.75"/>
  <cols>
    <col min="1" max="1" width="13.140625" customWidth="1"/>
    <col min="2" max="2" width="22.5703125" customWidth="1"/>
    <col min="3" max="3" width="35.42578125" bestFit="1" customWidth="1"/>
    <col min="4" max="4" width="37.28515625" bestFit="1" customWidth="1"/>
    <col min="5" max="5" width="19.5703125" customWidth="1"/>
    <col min="6" max="6" width="23.140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c r="N13" s="597" t="s">
        <v>506</v>
      </c>
      <c r="O13" s="351"/>
    </row>
    <row r="14" spans="1:15">
      <c r="M14" s="596"/>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7:21">
      <c r="M34" s="351"/>
    </row>
    <row r="35" spans="7:21">
      <c r="O35" s="1755"/>
      <c r="P35" s="1714"/>
      <c r="Q35" s="1714"/>
      <c r="R35" s="1714"/>
      <c r="S35" s="1714"/>
    </row>
    <row r="36" spans="7:21">
      <c r="O36" s="700"/>
      <c r="P36" s="700"/>
      <c r="Q36" s="700"/>
      <c r="R36" s="700"/>
      <c r="S36" s="700"/>
    </row>
    <row r="37" spans="7:21">
      <c r="O37" s="702"/>
      <c r="P37" s="702"/>
      <c r="Q37" s="702"/>
      <c r="R37" s="702"/>
      <c r="S37" s="702"/>
    </row>
    <row r="41" spans="7:21">
      <c r="M41" s="1755"/>
      <c r="N41" s="1755"/>
      <c r="O41" s="1755"/>
      <c r="P41" s="701"/>
      <c r="Q41" s="701"/>
      <c r="R41" s="701"/>
      <c r="S41" s="701"/>
      <c r="T41" s="300"/>
      <c r="U41" s="301"/>
    </row>
    <row r="42" spans="7:21">
      <c r="M42" s="1755"/>
      <c r="N42" s="1714"/>
      <c r="O42" s="1714"/>
    </row>
    <row r="43" spans="7:21">
      <c r="G43" s="254"/>
      <c r="M43" s="700"/>
      <c r="N43" s="700"/>
      <c r="O43" s="700"/>
    </row>
    <row r="44" spans="7:21">
      <c r="G44" s="254"/>
      <c r="M44" s="703"/>
      <c r="N44" s="702"/>
      <c r="O44" s="702"/>
    </row>
    <row r="45" spans="7:21">
      <c r="G45" s="254"/>
      <c r="M45" s="1755"/>
      <c r="N45" s="1714"/>
      <c r="O45" s="1714"/>
    </row>
    <row r="46" spans="7:21">
      <c r="M46" s="700"/>
      <c r="N46" s="701"/>
      <c r="O46" s="701"/>
    </row>
    <row r="47" spans="7:21">
      <c r="G47" t="s">
        <v>931</v>
      </c>
      <c r="M47" s="700"/>
      <c r="N47" s="701"/>
      <c r="O47" s="701"/>
    </row>
    <row r="48" spans="7: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M57" s="731" t="s">
        <v>832</v>
      </c>
      <c r="N57" s="583"/>
      <c r="U57" s="4"/>
      <c r="V57" s="547"/>
      <c r="W57" s="548"/>
    </row>
    <row r="58" spans="4:23" ht="14.25">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560.19015280135818</v>
      </c>
      <c r="K67" s="693">
        <f>J67*(1+K66)</f>
        <v>435.70345217883414</v>
      </c>
      <c r="L67" s="692">
        <f>K67*(1+L66)</f>
        <v>580.93793623844545</v>
      </c>
      <c r="M67" s="692">
        <f>L67*(1+M66)</f>
        <v>774.58391498459389</v>
      </c>
      <c r="N67" s="692">
        <f>M67*(1+N66)</f>
        <v>1032.7785533127917</v>
      </c>
      <c r="U67" s="551"/>
      <c r="V67" s="552"/>
      <c r="W67" s="552"/>
      <c r="X67" s="552"/>
      <c r="Y67" s="553"/>
    </row>
    <row r="68" spans="1:25" ht="15">
      <c r="U68" s="554"/>
      <c r="V68" s="555"/>
      <c r="W68" s="556"/>
      <c r="X68" s="555"/>
      <c r="Y68" s="557"/>
    </row>
    <row r="69" spans="1:25" ht="15">
      <c r="G69" s="697" t="s">
        <v>830</v>
      </c>
      <c r="H69" s="698">
        <f>M86*1.8</f>
        <v>560.19015280135818</v>
      </c>
      <c r="I69" s="695"/>
      <c r="J69" s="694"/>
      <c r="K69" s="695"/>
      <c r="M69" s="259" t="s">
        <v>0</v>
      </c>
      <c r="N69" s="260">
        <v>0.7</v>
      </c>
      <c r="O69" s="261" t="s">
        <v>3</v>
      </c>
      <c r="P69" s="261" t="s">
        <v>3</v>
      </c>
      <c r="U69" s="554"/>
      <c r="V69" s="558"/>
      <c r="W69" s="556"/>
      <c r="X69" s="555"/>
      <c r="Y69" s="557"/>
    </row>
    <row r="70" spans="1:25" ht="15">
      <c r="G70" s="548"/>
      <c r="H70" s="694"/>
      <c r="I70" s="695"/>
      <c r="J70" s="694"/>
      <c r="K70" s="695"/>
      <c r="M70" s="21"/>
      <c r="N70" s="23" t="s">
        <v>3</v>
      </c>
      <c r="O70" s="261">
        <f>(1+N69/12)^12</f>
        <v>1.9745571080532636</v>
      </c>
      <c r="P70" s="266">
        <f>O70-1</f>
        <v>0.97455710805326357</v>
      </c>
      <c r="U70" s="559"/>
      <c r="V70" s="560"/>
      <c r="W70" s="556"/>
      <c r="X70" s="561"/>
      <c r="Y70" s="557"/>
    </row>
    <row r="71" spans="1:25" ht="14.25">
      <c r="A71" s="767" t="s">
        <v>865</v>
      </c>
      <c r="B71" s="257" t="s">
        <v>957</v>
      </c>
      <c r="C71" s="257"/>
      <c r="D71" s="257"/>
      <c r="G71" s="548"/>
      <c r="H71" s="694"/>
      <c r="I71" s="695"/>
      <c r="J71" s="694"/>
      <c r="K71" s="695"/>
      <c r="M71" s="21"/>
      <c r="N71" s="23"/>
    </row>
    <row r="72" spans="1:25">
      <c r="A72" s="257"/>
      <c r="B72" s="767" t="s">
        <v>912</v>
      </c>
      <c r="C72" s="257"/>
      <c r="D72" s="257"/>
      <c r="M72" s="21"/>
      <c r="N72" s="39"/>
    </row>
    <row r="73" spans="1:25" ht="14.25">
      <c r="A73" s="257"/>
      <c r="B73" s="257"/>
      <c r="C73" s="257"/>
      <c r="D73" s="257"/>
      <c r="G73" s="798"/>
      <c r="H73" s="799"/>
      <c r="I73" s="799"/>
      <c r="J73" s="800"/>
      <c r="K73" s="800"/>
      <c r="M73" s="21"/>
      <c r="N73" s="23"/>
    </row>
    <row r="74" spans="1:25" ht="14.25">
      <c r="A74" s="257"/>
      <c r="B74" s="767" t="s">
        <v>965</v>
      </c>
      <c r="C74" s="257"/>
      <c r="D74" s="257"/>
      <c r="G74" s="799"/>
      <c r="H74" s="799"/>
      <c r="I74" s="799"/>
      <c r="J74" s="798"/>
      <c r="K74" s="799"/>
    </row>
    <row r="75" spans="1:25" ht="33" customHeight="1" thickBot="1">
      <c r="A75" s="257"/>
      <c r="B75" s="767" t="s">
        <v>921</v>
      </c>
      <c r="C75" s="257"/>
      <c r="D75" s="257"/>
      <c r="G75" s="801"/>
      <c r="H75" s="799"/>
      <c r="I75" s="799"/>
      <c r="J75" s="798"/>
      <c r="K75" s="799"/>
      <c r="M75" s="1803" t="s">
        <v>103</v>
      </c>
      <c r="N75" s="1804"/>
      <c r="O75" s="1804"/>
      <c r="P75" s="1804"/>
      <c r="Q75" s="1805"/>
      <c r="S75" s="1806" t="s">
        <v>950</v>
      </c>
      <c r="T75" s="1806"/>
      <c r="U75" s="1806"/>
      <c r="V75" s="1806"/>
      <c r="W75" s="1806"/>
      <c r="X75" s="1806"/>
    </row>
    <row r="76" spans="1:25" ht="14.25">
      <c r="G76" s="799"/>
      <c r="H76" s="802"/>
      <c r="I76" s="799"/>
      <c r="J76" s="798"/>
      <c r="K76" s="799"/>
      <c r="M76" s="24" t="s">
        <v>105</v>
      </c>
      <c r="N76" s="24" t="s">
        <v>106</v>
      </c>
      <c r="O76" s="24" t="s">
        <v>102</v>
      </c>
      <c r="P76" s="24" t="s">
        <v>134</v>
      </c>
      <c r="Q76" s="24" t="s">
        <v>107</v>
      </c>
      <c r="S76" s="435" t="s">
        <v>427</v>
      </c>
      <c r="T76" s="436" t="s">
        <v>428</v>
      </c>
      <c r="U76" s="436" t="s">
        <v>102</v>
      </c>
      <c r="V76" s="436" t="s">
        <v>107</v>
      </c>
      <c r="W76" s="436" t="s">
        <v>109</v>
      </c>
      <c r="X76" s="437" t="s">
        <v>429</v>
      </c>
    </row>
    <row r="77" spans="1:25" ht="14.25">
      <c r="G77" s="802"/>
      <c r="H77" s="802"/>
      <c r="I77" s="799"/>
      <c r="J77" s="799"/>
      <c r="K77" s="799"/>
      <c r="M77" s="25"/>
      <c r="N77" s="26"/>
      <c r="O77" s="26"/>
      <c r="P77" s="26"/>
      <c r="Q77" s="26">
        <f>D149</f>
        <v>5402500</v>
      </c>
      <c r="S77" s="25">
        <v>1</v>
      </c>
      <c r="T77" s="254">
        <v>5402500</v>
      </c>
      <c r="U77" s="254">
        <v>5265044.7762577562</v>
      </c>
      <c r="V77" s="254">
        <v>90359.552596384659</v>
      </c>
      <c r="W77" s="254">
        <v>5355404.3288541408</v>
      </c>
      <c r="X77" s="254">
        <v>5312140.4474036153</v>
      </c>
    </row>
    <row r="78" spans="1:25" ht="14.25">
      <c r="G78" s="802"/>
      <c r="H78" s="802"/>
      <c r="I78" s="799"/>
      <c r="J78" s="799"/>
      <c r="K78" s="799"/>
      <c r="M78" s="25">
        <v>1</v>
      </c>
      <c r="N78" s="26">
        <f t="shared" ref="N78:N83" si="0">$P$70*$Q$77/(1-(1+$P$70)^-6)</f>
        <v>5355404.3288541408</v>
      </c>
      <c r="O78" s="818">
        <f t="shared" ref="O78:O83" si="1">Q77*$P$70</f>
        <v>5265044.7762577562</v>
      </c>
      <c r="P78" s="817">
        <f t="shared" ref="P78:P83" si="2">N78-O78</f>
        <v>90359.552596384659</v>
      </c>
      <c r="Q78" s="26">
        <f t="shared" ref="Q78:Q83" si="3">Q77-P78</f>
        <v>5312140.4474036153</v>
      </c>
      <c r="S78" s="25">
        <v>2</v>
      </c>
      <c r="T78" s="254">
        <v>5312140.4474036153</v>
      </c>
      <c r="U78" s="254">
        <v>5176984.2319944371</v>
      </c>
      <c r="V78" s="254">
        <v>178420.09685970377</v>
      </c>
      <c r="W78" s="254">
        <v>5355404.3288541408</v>
      </c>
      <c r="X78" s="254">
        <v>5133720.3505439116</v>
      </c>
    </row>
    <row r="79" spans="1:25" ht="14.25">
      <c r="G79" s="802"/>
      <c r="H79" s="799"/>
      <c r="I79" s="799"/>
      <c r="J79" s="799"/>
      <c r="K79" s="799"/>
      <c r="M79" s="25">
        <v>2</v>
      </c>
      <c r="N79" s="26">
        <f t="shared" si="0"/>
        <v>5355404.3288541408</v>
      </c>
      <c r="O79" s="818">
        <f t="shared" si="1"/>
        <v>5176984.2319944371</v>
      </c>
      <c r="P79" s="817">
        <f t="shared" si="2"/>
        <v>178420.09685970377</v>
      </c>
      <c r="Q79" s="26">
        <f t="shared" si="3"/>
        <v>5133720.3505439116</v>
      </c>
      <c r="S79" s="25">
        <v>3</v>
      </c>
      <c r="T79" s="254">
        <v>5133720.3505439116</v>
      </c>
      <c r="U79" s="254">
        <v>5003103.6583802607</v>
      </c>
      <c r="V79" s="254">
        <v>352300.67047388013</v>
      </c>
      <c r="W79" s="254">
        <v>5355404.3288541408</v>
      </c>
      <c r="X79" s="254">
        <v>4781419.6800700314</v>
      </c>
    </row>
    <row r="80" spans="1:25">
      <c r="G80" s="803"/>
      <c r="H80" s="799"/>
      <c r="I80" s="799"/>
      <c r="J80" s="799"/>
      <c r="K80" s="799"/>
      <c r="M80" s="25">
        <v>3</v>
      </c>
      <c r="N80" s="26">
        <f t="shared" si="0"/>
        <v>5355404.3288541408</v>
      </c>
      <c r="O80" s="818">
        <f t="shared" si="1"/>
        <v>5003103.6583802607</v>
      </c>
      <c r="P80" s="817">
        <f t="shared" si="2"/>
        <v>352300.67047388013</v>
      </c>
      <c r="Q80" s="26">
        <f t="shared" si="3"/>
        <v>4781419.6800700314</v>
      </c>
      <c r="S80" s="25">
        <v>4</v>
      </c>
      <c r="T80" s="254">
        <v>4781419.6800700314</v>
      </c>
      <c r="U80" s="254">
        <v>4659766.5357980104</v>
      </c>
      <c r="V80" s="254">
        <v>695637.79305613041</v>
      </c>
      <c r="W80" s="254">
        <v>5355404.3288541408</v>
      </c>
      <c r="X80" s="254">
        <v>4085781.887013901</v>
      </c>
    </row>
    <row r="81" spans="2:24">
      <c r="G81" s="804"/>
      <c r="H81" s="799"/>
      <c r="I81" s="799"/>
      <c r="J81" s="799"/>
      <c r="K81" s="799"/>
      <c r="M81" s="25">
        <v>4</v>
      </c>
      <c r="N81" s="26">
        <f t="shared" si="0"/>
        <v>5355404.3288541408</v>
      </c>
      <c r="O81" s="818">
        <f t="shared" si="1"/>
        <v>4659766.5357980104</v>
      </c>
      <c r="P81" s="817">
        <f t="shared" si="2"/>
        <v>695637.79305613041</v>
      </c>
      <c r="Q81" s="26">
        <f t="shared" si="3"/>
        <v>4085781.887013901</v>
      </c>
      <c r="S81" s="766">
        <v>5</v>
      </c>
      <c r="T81" s="254">
        <v>4085781.887013901</v>
      </c>
      <c r="U81" s="254">
        <v>3981827.7799446736</v>
      </c>
      <c r="V81" s="254">
        <v>1373576.5489094672</v>
      </c>
      <c r="W81" s="254">
        <v>5355404.3288541408</v>
      </c>
      <c r="X81" s="254">
        <v>2712205.3381044338</v>
      </c>
    </row>
    <row r="82" spans="2:24">
      <c r="M82" s="766">
        <v>5</v>
      </c>
      <c r="N82" s="26">
        <f t="shared" si="0"/>
        <v>5355404.3288541408</v>
      </c>
      <c r="O82" s="818">
        <f t="shared" si="1"/>
        <v>3981827.7799446736</v>
      </c>
      <c r="P82" s="817">
        <f t="shared" si="2"/>
        <v>1373576.5489094672</v>
      </c>
      <c r="Q82" s="26">
        <f t="shared" si="3"/>
        <v>2712205.3381044338</v>
      </c>
      <c r="S82" s="815">
        <v>6</v>
      </c>
      <c r="T82" s="816">
        <v>2712205.3381044338</v>
      </c>
      <c r="U82" s="816">
        <v>2643198.9907496809</v>
      </c>
      <c r="V82" s="816">
        <v>2712205.3381044599</v>
      </c>
      <c r="W82" s="816">
        <v>5355404.3288541408</v>
      </c>
      <c r="X82" s="816">
        <v>-2.6077032089233398E-8</v>
      </c>
    </row>
    <row r="83" spans="2:24" ht="13.5" thickBot="1">
      <c r="M83" s="766">
        <v>6</v>
      </c>
      <c r="N83" s="26">
        <f t="shared" si="0"/>
        <v>5355404.3288541408</v>
      </c>
      <c r="O83" s="818">
        <f t="shared" si="1"/>
        <v>2643198.9907496809</v>
      </c>
      <c r="P83" s="817">
        <f t="shared" si="2"/>
        <v>2712205.3381044599</v>
      </c>
      <c r="Q83" s="26">
        <f t="shared" si="3"/>
        <v>-2.6077032089233398E-8</v>
      </c>
    </row>
    <row r="84" spans="2:24" ht="15" thickBot="1">
      <c r="B84" s="1703" t="s">
        <v>576</v>
      </c>
      <c r="C84" s="1704"/>
      <c r="D84" s="1704"/>
      <c r="E84" s="1704"/>
      <c r="F84" s="1704"/>
      <c r="G84" s="1704"/>
      <c r="H84" s="1704"/>
      <c r="I84" s="1704"/>
      <c r="J84" s="1704"/>
      <c r="K84" s="1705"/>
      <c r="L84" s="384"/>
      <c r="M84" s="384"/>
      <c r="N84" s="2"/>
      <c r="O84" s="2"/>
      <c r="P84" s="2"/>
      <c r="Q84" s="2"/>
    </row>
    <row r="85" spans="2:24" ht="30">
      <c r="B85" s="401" t="s">
        <v>577</v>
      </c>
      <c r="C85" s="402" t="s">
        <v>578</v>
      </c>
      <c r="D85" s="403" t="s">
        <v>579</v>
      </c>
      <c r="E85" s="403" t="s">
        <v>102</v>
      </c>
      <c r="F85" s="403" t="s">
        <v>580</v>
      </c>
      <c r="G85" s="403" t="s">
        <v>581</v>
      </c>
      <c r="H85" s="403" t="s">
        <v>582</v>
      </c>
      <c r="I85" s="404" t="s">
        <v>583</v>
      </c>
      <c r="J85" s="405" t="s">
        <v>584</v>
      </c>
      <c r="K85" s="401" t="s">
        <v>585</v>
      </c>
      <c r="L85" s="384"/>
      <c r="M85" s="401" t="s">
        <v>586</v>
      </c>
      <c r="N85" s="1759" t="s">
        <v>881</v>
      </c>
      <c r="O85" s="1759"/>
      <c r="P85" s="2"/>
      <c r="Q85" s="2"/>
    </row>
    <row r="86" spans="2:24" ht="14.25">
      <c r="B86" s="406" t="s">
        <v>916</v>
      </c>
      <c r="C86" s="524">
        <v>14900</v>
      </c>
      <c r="D86" s="408" t="s">
        <v>919</v>
      </c>
      <c r="E86" s="525">
        <v>0</v>
      </c>
      <c r="F86" s="525">
        <v>0.05</v>
      </c>
      <c r="G86" s="410">
        <f>1-F86</f>
        <v>0.95</v>
      </c>
      <c r="H86" s="411">
        <f>C86/G86</f>
        <v>15684.21052631579</v>
      </c>
      <c r="I86" s="410">
        <f>(1/62)</f>
        <v>1.6129032258064516E-2</v>
      </c>
      <c r="J86" s="412">
        <f>I86*H86*(1+E86)</f>
        <v>252.9711375212224</v>
      </c>
      <c r="K86" s="1735">
        <f>SUM(J86:J90)</f>
        <v>311.2167515563101</v>
      </c>
      <c r="L86" s="1717" t="s">
        <v>588</v>
      </c>
      <c r="M86" s="1718">
        <f>SUM(K86,L90)</f>
        <v>311.2167515563101</v>
      </c>
      <c r="N86" s="1759"/>
      <c r="O86" s="1759"/>
      <c r="P86" s="2"/>
      <c r="Q86" s="2"/>
    </row>
    <row r="87" spans="2:24" ht="14.25">
      <c r="B87" s="406" t="s">
        <v>917</v>
      </c>
      <c r="C87" s="524">
        <v>2900</v>
      </c>
      <c r="D87" s="408" t="s">
        <v>919</v>
      </c>
      <c r="E87" s="525">
        <v>0</v>
      </c>
      <c r="F87" s="525">
        <v>0.05</v>
      </c>
      <c r="G87" s="410">
        <f>1-F87</f>
        <v>0.95</v>
      </c>
      <c r="H87" s="411">
        <f>C87/G87</f>
        <v>3052.6315789473688</v>
      </c>
      <c r="I87" s="410">
        <f>(1/75)</f>
        <v>1.3333333333333334E-2</v>
      </c>
      <c r="J87" s="412">
        <f>I87*H87*(1+E87)</f>
        <v>40.701754385964918</v>
      </c>
      <c r="K87" s="1736"/>
      <c r="L87" s="1717"/>
      <c r="M87" s="1718"/>
      <c r="N87" s="1759"/>
      <c r="O87" s="1759"/>
      <c r="P87" s="2"/>
      <c r="Q87" s="2"/>
    </row>
    <row r="88" spans="2:24" ht="14.25">
      <c r="B88" s="406" t="s">
        <v>918</v>
      </c>
      <c r="C88" s="524">
        <v>1250</v>
      </c>
      <c r="D88" s="408" t="s">
        <v>920</v>
      </c>
      <c r="E88" s="525">
        <v>0</v>
      </c>
      <c r="F88" s="525">
        <v>0.05</v>
      </c>
      <c r="G88" s="410">
        <f>1-F88</f>
        <v>0.95</v>
      </c>
      <c r="H88" s="411">
        <f>C88/G88</f>
        <v>1315.7894736842106</v>
      </c>
      <c r="I88" s="410">
        <f>(1/75)</f>
        <v>1.3333333333333334E-2</v>
      </c>
      <c r="J88" s="412">
        <f>I88*H88*(1+E88)</f>
        <v>17.543859649122808</v>
      </c>
      <c r="K88" s="1736"/>
      <c r="L88" s="1717"/>
      <c r="M88" s="1718"/>
      <c r="N88" s="1759"/>
      <c r="O88" s="1759"/>
      <c r="P88" s="2"/>
      <c r="Q88" s="2"/>
    </row>
    <row r="89" spans="2:24" ht="14.25">
      <c r="B89" s="406"/>
      <c r="C89" s="524"/>
      <c r="D89" s="408"/>
      <c r="E89" s="525"/>
      <c r="F89" s="525"/>
      <c r="G89" s="410">
        <f>1-F89</f>
        <v>1</v>
      </c>
      <c r="H89" s="411">
        <f>C89/G89</f>
        <v>0</v>
      </c>
      <c r="I89" s="408">
        <v>1</v>
      </c>
      <c r="J89" s="412">
        <f>I89*H89*(1+E89)</f>
        <v>0</v>
      </c>
      <c r="K89" s="1736"/>
      <c r="L89" s="1717"/>
      <c r="M89" s="1718"/>
      <c r="N89" s="1759"/>
      <c r="O89" s="1759"/>
      <c r="P89" s="2"/>
      <c r="Q89" s="2"/>
    </row>
    <row r="90" spans="2:24" ht="15.75" thickBot="1">
      <c r="B90" s="414"/>
      <c r="C90" s="530"/>
      <c r="D90" s="416"/>
      <c r="E90" s="531"/>
      <c r="F90" s="531"/>
      <c r="G90" s="410">
        <f>1-F90</f>
        <v>1</v>
      </c>
      <c r="H90" s="411">
        <f>C90/G90</f>
        <v>0</v>
      </c>
      <c r="I90" s="416">
        <v>1</v>
      </c>
      <c r="J90" s="412">
        <f>I90*C90*(1+E90)</f>
        <v>0</v>
      </c>
      <c r="K90" s="1737"/>
      <c r="L90" s="532">
        <v>0</v>
      </c>
      <c r="M90" s="1718"/>
      <c r="N90" s="1759"/>
      <c r="O90" s="1759"/>
      <c r="P90" s="2"/>
      <c r="Q90" s="2"/>
    </row>
    <row r="91" spans="2:24" ht="14.25">
      <c r="B91" s="384"/>
      <c r="C91" s="419" t="s">
        <v>595</v>
      </c>
      <c r="D91" s="384"/>
      <c r="E91" s="1719" t="s">
        <v>596</v>
      </c>
      <c r="F91" s="1720"/>
      <c r="I91" s="419" t="s">
        <v>595</v>
      </c>
      <c r="J91" s="384"/>
      <c r="K91" s="384"/>
      <c r="L91" s="419" t="s">
        <v>597</v>
      </c>
      <c r="M91" s="384"/>
      <c r="N91" s="1759"/>
      <c r="O91" s="1759"/>
      <c r="P91" s="2"/>
      <c r="Q91" s="2"/>
    </row>
    <row r="92" spans="2:24">
      <c r="M92" s="2"/>
      <c r="N92" s="2"/>
      <c r="O92" s="2"/>
      <c r="P92" s="2"/>
      <c r="Q92" s="2"/>
    </row>
    <row r="93" spans="2:24" ht="13.5" thickBot="1">
      <c r="M93" s="2"/>
      <c r="N93" s="2"/>
      <c r="O93" s="2"/>
      <c r="P93" s="2"/>
      <c r="Q93" s="2"/>
    </row>
    <row r="94" spans="2:24">
      <c r="F94" s="1791" t="s">
        <v>924</v>
      </c>
      <c r="G94" s="1792"/>
      <c r="M94" s="2"/>
      <c r="N94" s="2"/>
      <c r="O94" s="2"/>
      <c r="P94" s="2"/>
      <c r="Q94" s="2"/>
    </row>
    <row r="95" spans="2:24">
      <c r="C95" s="303" t="s">
        <v>922</v>
      </c>
      <c r="D95" s="303" t="s">
        <v>923</v>
      </c>
      <c r="F95" s="807">
        <f>1800*12</f>
        <v>21600</v>
      </c>
      <c r="G95" s="808">
        <v>60</v>
      </c>
      <c r="M95" s="2"/>
      <c r="N95" s="2"/>
      <c r="O95" s="2"/>
      <c r="P95" s="2"/>
      <c r="Q95" s="2"/>
    </row>
    <row r="96" spans="2:24" ht="13.5" customHeight="1" thickBot="1">
      <c r="C96" s="806">
        <f>1089/1.21</f>
        <v>900</v>
      </c>
      <c r="D96" s="806">
        <v>1299</v>
      </c>
      <c r="F96" s="809">
        <f>(F95*G96)/G95</f>
        <v>36000</v>
      </c>
      <c r="G96" s="810">
        <v>100</v>
      </c>
      <c r="M96" s="4"/>
      <c r="N96" s="5"/>
      <c r="O96" s="5"/>
      <c r="P96" s="5"/>
      <c r="Q96" s="5"/>
    </row>
    <row r="97" spans="3:22">
      <c r="M97" s="4"/>
      <c r="N97" s="5"/>
      <c r="O97" s="5"/>
      <c r="P97" s="5"/>
      <c r="Q97" s="5"/>
    </row>
    <row r="98" spans="3:22">
      <c r="M98" s="4"/>
      <c r="N98" s="5"/>
      <c r="O98" s="5"/>
      <c r="P98" s="5"/>
      <c r="Q98" s="5"/>
    </row>
    <row r="99" spans="3:22">
      <c r="H99" s="254"/>
      <c r="M99" s="4"/>
      <c r="N99" s="5"/>
      <c r="O99" s="5"/>
      <c r="P99" s="5"/>
      <c r="Q99" s="5"/>
    </row>
    <row r="101" spans="3:22">
      <c r="C101" s="272" t="s">
        <v>925</v>
      </c>
      <c r="E101" s="811">
        <f>$F$95*12</f>
        <v>259200</v>
      </c>
      <c r="F101" s="811">
        <f>E101*1.03</f>
        <v>266976</v>
      </c>
      <c r="G101" s="811">
        <f>F101*1.03</f>
        <v>274985.28000000003</v>
      </c>
      <c r="H101" s="811">
        <f>G101*1.03</f>
        <v>283234.83840000001</v>
      </c>
      <c r="I101" s="811">
        <f>H101*1.03</f>
        <v>291731.88355200004</v>
      </c>
    </row>
    <row r="102" spans="3:22">
      <c r="C102" s="272" t="s">
        <v>926</v>
      </c>
      <c r="D102" s="812"/>
      <c r="E102" s="814">
        <f>($F$96-$F$95)*12</f>
        <v>172800</v>
      </c>
      <c r="F102" s="814">
        <f>(E102)*1.03</f>
        <v>177984</v>
      </c>
      <c r="G102" s="814">
        <f>(F102)*1.03</f>
        <v>183323.52000000002</v>
      </c>
      <c r="H102" s="814">
        <f>(G102)*1.03</f>
        <v>188823.22560000003</v>
      </c>
      <c r="I102" s="814">
        <f>(H102)*1.03</f>
        <v>194487.92236800003</v>
      </c>
      <c r="P102" s="272"/>
      <c r="Q102" s="25"/>
      <c r="R102" s="25"/>
      <c r="S102" s="25"/>
      <c r="T102" s="25"/>
      <c r="U102" s="25"/>
      <c r="V102" s="25"/>
    </row>
    <row r="103" spans="3:22">
      <c r="C103" s="27" t="s">
        <v>361</v>
      </c>
      <c r="D103" s="27" t="s">
        <v>112</v>
      </c>
      <c r="E103" s="813" t="s">
        <v>113</v>
      </c>
      <c r="F103" s="813" t="s">
        <v>114</v>
      </c>
      <c r="G103" s="813" t="s">
        <v>115</v>
      </c>
      <c r="H103" s="813" t="s">
        <v>116</v>
      </c>
      <c r="I103" s="813" t="s">
        <v>117</v>
      </c>
      <c r="P103" s="27"/>
      <c r="Q103" s="27"/>
      <c r="R103" s="27"/>
      <c r="S103" s="27"/>
      <c r="T103" s="27"/>
      <c r="U103" s="27"/>
      <c r="V103" s="27"/>
    </row>
    <row r="104" spans="3:22">
      <c r="C104" s="269" t="s">
        <v>118</v>
      </c>
      <c r="D104" s="270"/>
      <c r="E104" s="270"/>
      <c r="F104" s="270"/>
      <c r="G104" s="270"/>
      <c r="H104" s="270"/>
      <c r="I104" s="270"/>
      <c r="P104" s="269"/>
      <c r="Q104" s="270"/>
      <c r="R104" s="270"/>
      <c r="S104" s="270"/>
      <c r="T104" s="270"/>
      <c r="U104" s="270"/>
      <c r="V104" s="270"/>
    </row>
    <row r="105" spans="3:22">
      <c r="C105" s="25" t="s">
        <v>930</v>
      </c>
      <c r="D105" s="752"/>
      <c r="E105" s="752">
        <f>$C$96*E101</f>
        <v>233280000</v>
      </c>
      <c r="F105" s="752">
        <f>$C$96*F101</f>
        <v>240278400</v>
      </c>
      <c r="G105" s="752">
        <f>$C$96*G101</f>
        <v>247486752.00000003</v>
      </c>
      <c r="H105" s="752">
        <f>$C$96*H101</f>
        <v>254911354.56</v>
      </c>
      <c r="I105" s="752">
        <f>$C$96*I101</f>
        <v>262558695.19680005</v>
      </c>
      <c r="P105" s="25"/>
      <c r="Q105" s="26"/>
      <c r="R105" s="26"/>
      <c r="S105" s="26"/>
      <c r="T105" s="26"/>
      <c r="U105" s="26"/>
      <c r="V105" s="26"/>
    </row>
    <row r="106" spans="3:22">
      <c r="C106" s="25" t="s">
        <v>927</v>
      </c>
      <c r="D106" s="752"/>
      <c r="E106" s="752">
        <f>$D$96*E102</f>
        <v>224467200</v>
      </c>
      <c r="F106" s="752">
        <f>$D$96*F102</f>
        <v>231201216</v>
      </c>
      <c r="G106" s="752">
        <f>$D$96*G102</f>
        <v>238137252.48000002</v>
      </c>
      <c r="H106" s="752">
        <f>$D$96*H102</f>
        <v>245281370.05440006</v>
      </c>
      <c r="I106" s="752">
        <f>$D$96*I102</f>
        <v>252639811.15603203</v>
      </c>
      <c r="P106" s="25"/>
      <c r="Q106" s="26"/>
      <c r="R106" s="26"/>
      <c r="S106" s="26"/>
      <c r="T106" s="26"/>
      <c r="U106" s="26"/>
      <c r="V106" s="26"/>
    </row>
    <row r="107" spans="3:22">
      <c r="C107" s="25" t="s">
        <v>867</v>
      </c>
      <c r="D107" s="752"/>
      <c r="E107" s="752"/>
      <c r="F107" s="752"/>
      <c r="G107" s="752"/>
      <c r="H107" s="752"/>
      <c r="I107" s="752"/>
      <c r="P107" s="25"/>
      <c r="Q107" s="26"/>
      <c r="R107" s="26"/>
      <c r="S107" s="26"/>
      <c r="T107" s="26"/>
      <c r="U107" s="26"/>
      <c r="V107" s="26"/>
    </row>
    <row r="108" spans="3:22">
      <c r="C108" s="25"/>
      <c r="D108" s="752"/>
      <c r="E108" s="752"/>
      <c r="F108" s="752"/>
      <c r="G108" s="752"/>
      <c r="H108" s="752"/>
      <c r="I108" s="752"/>
      <c r="P108" s="25"/>
      <c r="Q108" s="26"/>
      <c r="R108" s="26"/>
      <c r="S108" s="26"/>
      <c r="T108" s="26"/>
      <c r="U108" s="26"/>
      <c r="V108" s="26"/>
    </row>
    <row r="109" spans="3:22">
      <c r="C109" s="25" t="s">
        <v>874</v>
      </c>
      <c r="D109" s="752"/>
      <c r="E109" s="752"/>
      <c r="F109" s="752"/>
      <c r="G109" s="752"/>
      <c r="H109" s="752"/>
      <c r="I109" s="753"/>
      <c r="P109" s="25"/>
      <c r="Q109" s="26"/>
      <c r="R109" s="26"/>
      <c r="S109" s="26"/>
      <c r="T109" s="26"/>
      <c r="U109" s="26"/>
      <c r="V109" s="280"/>
    </row>
    <row r="110" spans="3:22">
      <c r="C110" s="25"/>
      <c r="D110" s="752"/>
      <c r="E110" s="752"/>
      <c r="F110" s="752"/>
      <c r="G110" s="752"/>
      <c r="H110" s="752"/>
      <c r="I110" s="753"/>
      <c r="P110" s="25"/>
      <c r="Q110" s="26"/>
      <c r="R110" s="26"/>
      <c r="S110" s="26"/>
      <c r="T110" s="26"/>
      <c r="U110" s="26"/>
      <c r="V110" s="280"/>
    </row>
    <row r="111" spans="3:22">
      <c r="C111" s="25" t="s">
        <v>774</v>
      </c>
      <c r="D111" s="752"/>
      <c r="E111" s="752"/>
      <c r="F111" s="752"/>
      <c r="G111" s="752"/>
      <c r="H111" s="752"/>
      <c r="I111" s="753"/>
      <c r="J111" s="382"/>
      <c r="P111" s="25"/>
      <c r="Q111" s="26"/>
      <c r="R111" s="26"/>
      <c r="S111" s="26"/>
      <c r="T111" s="26"/>
      <c r="U111" s="26"/>
      <c r="V111" s="280"/>
    </row>
    <row r="112" spans="3:22">
      <c r="C112" s="269" t="s">
        <v>121</v>
      </c>
      <c r="D112" s="754"/>
      <c r="E112" s="754"/>
      <c r="F112" s="754"/>
      <c r="G112" s="754"/>
      <c r="H112" s="754"/>
      <c r="I112" s="754"/>
      <c r="P112" s="269"/>
      <c r="Q112" s="270"/>
      <c r="R112" s="270"/>
      <c r="S112" s="270"/>
      <c r="T112" s="270"/>
      <c r="U112" s="270"/>
      <c r="V112" s="270"/>
    </row>
    <row r="113" spans="3:22">
      <c r="P113" s="25"/>
      <c r="Q113" s="26"/>
      <c r="R113" s="26"/>
      <c r="S113" s="26"/>
      <c r="T113" s="26"/>
      <c r="U113" s="26"/>
      <c r="V113" s="26"/>
    </row>
    <row r="114" spans="3:22">
      <c r="C114" s="25" t="s">
        <v>122</v>
      </c>
      <c r="D114" s="752"/>
      <c r="E114" s="819">
        <f>O78*-1</f>
        <v>-5265044.7762577562</v>
      </c>
      <c r="F114" s="819">
        <f>O79*-1</f>
        <v>-5176984.2319944371</v>
      </c>
      <c r="G114" s="819">
        <f>O80*-1</f>
        <v>-5003103.6583802607</v>
      </c>
      <c r="H114" s="819">
        <f>O81*-1</f>
        <v>-4659766.5357980104</v>
      </c>
      <c r="I114" s="819">
        <f>O82*-1</f>
        <v>-3981827.7799446736</v>
      </c>
      <c r="P114" s="199"/>
      <c r="Q114" s="26"/>
      <c r="R114" s="26"/>
      <c r="S114" s="26"/>
      <c r="T114" s="26"/>
      <c r="U114" s="26"/>
      <c r="V114" s="26"/>
    </row>
    <row r="115" spans="3:22">
      <c r="C115" s="47" t="s">
        <v>875</v>
      </c>
      <c r="D115" s="752"/>
      <c r="E115" s="752"/>
      <c r="F115" s="752"/>
      <c r="G115" s="752"/>
      <c r="H115" s="752"/>
      <c r="I115" s="752"/>
      <c r="J115" s="351" t="s">
        <v>876</v>
      </c>
      <c r="P115" s="47"/>
      <c r="Q115" s="26"/>
      <c r="R115" s="26"/>
      <c r="S115" s="26"/>
      <c r="T115" s="26"/>
      <c r="U115" s="26"/>
      <c r="V115" s="26"/>
    </row>
    <row r="116" spans="3:22">
      <c r="C116" s="631" t="s">
        <v>899</v>
      </c>
      <c r="D116" s="752"/>
      <c r="E116" s="752"/>
      <c r="F116" s="752"/>
      <c r="G116" s="752"/>
      <c r="H116" s="752"/>
      <c r="I116" s="752"/>
      <c r="P116" s="47"/>
      <c r="Q116" s="26"/>
      <c r="R116" s="26"/>
      <c r="S116" s="26"/>
      <c r="T116" s="26"/>
      <c r="U116" s="26"/>
      <c r="V116" s="26"/>
    </row>
    <row r="117" spans="3:22">
      <c r="C117" s="632"/>
      <c r="D117" s="752"/>
      <c r="E117" s="752"/>
      <c r="F117" s="752"/>
      <c r="G117" s="752"/>
      <c r="H117" s="752"/>
      <c r="I117" s="752"/>
      <c r="P117" s="47"/>
      <c r="Q117" s="26"/>
      <c r="R117" s="26"/>
      <c r="S117" s="26"/>
      <c r="T117" s="26"/>
      <c r="U117" s="26"/>
      <c r="V117" s="26"/>
    </row>
    <row r="118" spans="3:22">
      <c r="C118" s="47" t="s">
        <v>802</v>
      </c>
      <c r="D118" s="752"/>
      <c r="E118" s="752"/>
      <c r="F118" s="752"/>
      <c r="G118" s="752"/>
      <c r="H118" s="752"/>
      <c r="I118" s="752"/>
      <c r="P118" s="47"/>
      <c r="Q118" s="26"/>
      <c r="R118" s="26"/>
      <c r="S118" s="26"/>
      <c r="T118" s="26"/>
      <c r="U118" s="26"/>
      <c r="V118" s="26"/>
    </row>
    <row r="119" spans="3:22">
      <c r="C119" s="25" t="s">
        <v>929</v>
      </c>
      <c r="D119" s="752"/>
      <c r="E119" s="752">
        <f>-$K$86*E101</f>
        <v>-80667382.003395572</v>
      </c>
      <c r="F119" s="752">
        <f>-$K$86*F101</f>
        <v>-83087403.463497445</v>
      </c>
      <c r="G119" s="752">
        <f>-$K$86*G101</f>
        <v>-85580025.567402378</v>
      </c>
      <c r="H119" s="752">
        <f>-$K$86*H101</f>
        <v>-88147426.334424436</v>
      </c>
      <c r="I119" s="752">
        <f>-$K$86*I101</f>
        <v>-90791849.124457181</v>
      </c>
      <c r="P119" s="199"/>
      <c r="Q119" s="26"/>
      <c r="R119" s="26"/>
      <c r="S119" s="26"/>
      <c r="T119" s="26"/>
      <c r="U119" s="26"/>
      <c r="V119" s="26"/>
    </row>
    <row r="120" spans="3:22" ht="15.75" customHeight="1">
      <c r="C120" s="25" t="s">
        <v>928</v>
      </c>
      <c r="D120" s="752"/>
      <c r="E120" s="752">
        <f>E102*780*-1</f>
        <v>-134784000</v>
      </c>
      <c r="F120" s="752">
        <f>F102*780*-1</f>
        <v>-138827520</v>
      </c>
      <c r="G120" s="752">
        <f>G102*780*-1</f>
        <v>-142992345.60000002</v>
      </c>
      <c r="H120" s="752">
        <f>H102*780*-1</f>
        <v>-147282115.96800002</v>
      </c>
      <c r="I120" s="752">
        <f>I102*780*-1</f>
        <v>-151700579.44704002</v>
      </c>
      <c r="P120" s="287"/>
      <c r="Q120" s="26"/>
      <c r="R120" s="26"/>
      <c r="S120" s="26"/>
      <c r="T120" s="26"/>
      <c r="U120" s="26"/>
      <c r="V120" s="26"/>
    </row>
    <row r="121" spans="3:22" ht="15.75" customHeight="1">
      <c r="C121" s="805" t="s">
        <v>955</v>
      </c>
      <c r="D121" s="752"/>
      <c r="E121" s="752">
        <v>-56000</v>
      </c>
      <c r="F121" s="752">
        <v>-56000</v>
      </c>
      <c r="G121" s="752">
        <v>-56000</v>
      </c>
      <c r="H121" s="752">
        <v>-56000</v>
      </c>
      <c r="I121" s="752">
        <v>-56000</v>
      </c>
      <c r="J121" s="351" t="s">
        <v>861</v>
      </c>
      <c r="P121" s="199"/>
      <c r="Q121" s="26"/>
      <c r="R121" s="26"/>
      <c r="S121" s="26"/>
      <c r="T121" s="26"/>
      <c r="U121" s="26"/>
      <c r="V121" s="26"/>
    </row>
    <row r="122" spans="3:22" ht="15.75" customHeight="1">
      <c r="C122" s="805" t="s">
        <v>956</v>
      </c>
      <c r="D122" s="752"/>
      <c r="E122" s="752">
        <f>-80000*12</f>
        <v>-960000</v>
      </c>
      <c r="F122" s="752">
        <f>E122*1.5</f>
        <v>-1440000</v>
      </c>
      <c r="G122" s="752">
        <f>F122*1.5</f>
        <v>-2160000</v>
      </c>
      <c r="H122" s="752">
        <f>G122*1.5</f>
        <v>-3240000</v>
      </c>
      <c r="I122" s="752">
        <f>H122*1.5</f>
        <v>-4860000</v>
      </c>
      <c r="P122" s="199"/>
      <c r="Q122" s="26"/>
      <c r="R122" s="26"/>
      <c r="S122" s="26"/>
      <c r="T122" s="26"/>
      <c r="U122" s="26"/>
      <c r="V122" s="26"/>
    </row>
    <row r="123" spans="3:22" ht="15.75" customHeight="1">
      <c r="C123" s="199" t="s">
        <v>913</v>
      </c>
      <c r="D123" s="752"/>
      <c r="E123" s="752">
        <f>-100000*14</f>
        <v>-1400000</v>
      </c>
      <c r="F123" s="752">
        <f>-100000*14</f>
        <v>-1400000</v>
      </c>
      <c r="G123" s="752">
        <f>-100000*14</f>
        <v>-1400000</v>
      </c>
      <c r="H123" s="752">
        <f>-100000*14</f>
        <v>-1400000</v>
      </c>
      <c r="I123" s="752">
        <f>-100000*14</f>
        <v>-1400000</v>
      </c>
      <c r="P123" s="199"/>
      <c r="Q123" s="26"/>
      <c r="R123" s="26"/>
      <c r="S123" s="26"/>
      <c r="T123" s="26"/>
      <c r="U123" s="26"/>
      <c r="V123" s="26"/>
    </row>
    <row r="124" spans="3:22" ht="15.75" customHeight="1">
      <c r="C124" s="199" t="s">
        <v>914</v>
      </c>
      <c r="D124" s="752"/>
      <c r="E124" s="752">
        <f>-70000*14</f>
        <v>-980000</v>
      </c>
      <c r="F124" s="752">
        <f>-70000*14</f>
        <v>-980000</v>
      </c>
      <c r="G124" s="752">
        <f>-70000*14</f>
        <v>-980000</v>
      </c>
      <c r="H124" s="752">
        <f>-70000*14</f>
        <v>-980000</v>
      </c>
      <c r="I124" s="752">
        <f>-70000*14</f>
        <v>-980000</v>
      </c>
      <c r="P124" s="199"/>
      <c r="Q124" s="26"/>
      <c r="R124" s="26"/>
      <c r="S124" s="26"/>
      <c r="T124" s="26"/>
      <c r="U124" s="26"/>
      <c r="V124" s="26"/>
    </row>
    <row r="125" spans="3:22" ht="15.75" customHeight="1">
      <c r="C125" s="199" t="s">
        <v>915</v>
      </c>
      <c r="D125" s="752"/>
      <c r="E125" s="752">
        <f>-90000*14</f>
        <v>-1260000</v>
      </c>
      <c r="F125" s="752">
        <f>-90000*14</f>
        <v>-1260000</v>
      </c>
      <c r="G125" s="752">
        <f>-90000*14</f>
        <v>-1260000</v>
      </c>
      <c r="H125" s="752">
        <f>-90000*14</f>
        <v>-1260000</v>
      </c>
      <c r="I125" s="752">
        <f>-90000*14</f>
        <v>-1260000</v>
      </c>
      <c r="P125" s="199"/>
      <c r="Q125" s="26"/>
      <c r="R125" s="26"/>
      <c r="S125" s="26"/>
      <c r="T125" s="26"/>
      <c r="U125" s="26"/>
      <c r="V125" s="26"/>
    </row>
    <row r="126" spans="3:22" ht="15.75" customHeight="1">
      <c r="C126" s="199"/>
      <c r="D126" s="752"/>
      <c r="E126" s="752"/>
      <c r="F126" s="752"/>
      <c r="G126" s="752"/>
      <c r="H126" s="752"/>
      <c r="I126" s="752"/>
      <c r="P126" s="199"/>
      <c r="Q126" s="26"/>
      <c r="R126" s="26"/>
      <c r="S126" s="26"/>
      <c r="T126" s="26"/>
      <c r="U126" s="26"/>
      <c r="V126" s="26"/>
    </row>
    <row r="127" spans="3:22" ht="15.75" customHeight="1">
      <c r="C127" s="199"/>
      <c r="D127" s="752"/>
      <c r="E127" s="752"/>
      <c r="F127" s="752"/>
      <c r="G127" s="752"/>
      <c r="H127" s="752"/>
      <c r="I127" s="752">
        <f>M16</f>
        <v>0</v>
      </c>
      <c r="P127" s="199"/>
      <c r="Q127" s="26"/>
      <c r="R127" s="26"/>
      <c r="S127" s="26"/>
      <c r="T127" s="26"/>
      <c r="U127" s="26"/>
      <c r="V127" s="26"/>
    </row>
    <row r="128" spans="3:22">
      <c r="C128" s="267" t="s">
        <v>125</v>
      </c>
      <c r="D128" s="755"/>
      <c r="E128" s="755"/>
      <c r="F128" s="755"/>
      <c r="G128" s="755"/>
      <c r="H128" s="755"/>
      <c r="I128" s="755"/>
      <c r="P128" s="267"/>
      <c r="Q128" s="268"/>
      <c r="R128" s="268"/>
      <c r="S128" s="268"/>
      <c r="T128" s="268"/>
      <c r="U128" s="268"/>
      <c r="V128" s="268"/>
    </row>
    <row r="129" spans="3:22">
      <c r="C129" s="25" t="s">
        <v>938</v>
      </c>
      <c r="D129" s="752"/>
      <c r="E129" s="752">
        <f>$D$150/10</f>
        <v>-8700</v>
      </c>
      <c r="F129" s="752">
        <f>$D$150/10</f>
        <v>-8700</v>
      </c>
      <c r="G129" s="752">
        <f>$D$150/10</f>
        <v>-8700</v>
      </c>
      <c r="H129" s="752">
        <f>$D$150/10</f>
        <v>-8700</v>
      </c>
      <c r="I129" s="752">
        <f>$D$150/10</f>
        <v>-8700</v>
      </c>
      <c r="J129" s="1746"/>
      <c r="K129" s="1747"/>
      <c r="L129" s="1747"/>
      <c r="M129" s="1747"/>
      <c r="P129" s="25"/>
      <c r="Q129" s="26"/>
      <c r="R129" s="26"/>
      <c r="S129" s="26"/>
      <c r="T129" s="26"/>
      <c r="U129" s="26"/>
      <c r="V129" s="26"/>
    </row>
    <row r="130" spans="3:22">
      <c r="C130" s="25" t="s">
        <v>939</v>
      </c>
      <c r="D130" s="752"/>
      <c r="E130" s="752">
        <f>$D$151/10</f>
        <v>-30000</v>
      </c>
      <c r="F130" s="752">
        <f>$D$151/10</f>
        <v>-30000</v>
      </c>
      <c r="G130" s="752">
        <f>$D$151/10</f>
        <v>-30000</v>
      </c>
      <c r="H130" s="752">
        <f>$D$151/10</f>
        <v>-30000</v>
      </c>
      <c r="I130" s="752">
        <f>$D$151/10</f>
        <v>-30000</v>
      </c>
      <c r="J130" s="303"/>
      <c r="K130" s="303"/>
      <c r="L130" s="303"/>
      <c r="M130" s="303"/>
      <c r="P130" s="25"/>
      <c r="Q130" s="26"/>
      <c r="R130" s="26"/>
      <c r="S130" s="26"/>
      <c r="T130" s="26"/>
      <c r="U130" s="26"/>
      <c r="V130" s="26"/>
    </row>
    <row r="131" spans="3:22">
      <c r="C131" s="25" t="s">
        <v>940</v>
      </c>
      <c r="D131" s="752"/>
      <c r="E131" s="752">
        <f>$D$152/5</f>
        <v>-9600</v>
      </c>
      <c r="F131" s="752">
        <f>$D$152/5</f>
        <v>-9600</v>
      </c>
      <c r="G131" s="752">
        <f>$D$152/5</f>
        <v>-9600</v>
      </c>
      <c r="H131" s="752">
        <f>$D$152/5</f>
        <v>-9600</v>
      </c>
      <c r="I131" s="752">
        <f>$D$152/5</f>
        <v>-9600</v>
      </c>
      <c r="J131" s="303"/>
      <c r="K131" s="303"/>
      <c r="L131" s="303"/>
      <c r="M131" s="303"/>
      <c r="P131" s="25"/>
      <c r="Q131" s="26"/>
      <c r="R131" s="26"/>
      <c r="S131" s="26"/>
      <c r="T131" s="26"/>
      <c r="U131" s="26"/>
      <c r="V131" s="26"/>
    </row>
    <row r="132" spans="3:22">
      <c r="C132" s="25" t="s">
        <v>941</v>
      </c>
      <c r="D132" s="752"/>
      <c r="E132" s="752">
        <f>$D$153/5</f>
        <v>-24000</v>
      </c>
      <c r="F132" s="752">
        <f>$D$153/5</f>
        <v>-24000</v>
      </c>
      <c r="G132" s="752">
        <f>$D$153/5</f>
        <v>-24000</v>
      </c>
      <c r="H132" s="752">
        <f>$D$153/5</f>
        <v>-24000</v>
      </c>
      <c r="I132" s="752">
        <f>$D$153/5</f>
        <v>-24000</v>
      </c>
      <c r="P132" s="25"/>
      <c r="Q132" s="26"/>
      <c r="R132" s="26"/>
      <c r="S132" s="26"/>
      <c r="T132" s="26"/>
      <c r="U132" s="26"/>
      <c r="V132" s="26"/>
    </row>
    <row r="133" spans="3:22">
      <c r="C133" s="25" t="s">
        <v>942</v>
      </c>
      <c r="D133" s="752"/>
      <c r="E133" s="752">
        <f>$D$154/5</f>
        <v>-50000</v>
      </c>
      <c r="F133" s="752">
        <f>$D$154/5</f>
        <v>-50000</v>
      </c>
      <c r="G133" s="752">
        <f>$D$154/5</f>
        <v>-50000</v>
      </c>
      <c r="H133" s="752">
        <f>$D$154/5</f>
        <v>-50000</v>
      </c>
      <c r="I133" s="752">
        <f>$D$154/5</f>
        <v>-50000</v>
      </c>
      <c r="P133" s="25"/>
      <c r="Q133" s="26"/>
      <c r="R133" s="26"/>
      <c r="S133" s="26"/>
      <c r="T133" s="26"/>
      <c r="U133" s="26"/>
      <c r="V133" s="26"/>
    </row>
    <row r="134" spans="3:22">
      <c r="C134" s="25" t="s">
        <v>943</v>
      </c>
      <c r="D134" s="752"/>
      <c r="E134" s="752">
        <f>$D$155/10</f>
        <v>-1000000</v>
      </c>
      <c r="F134" s="752">
        <f>$D$155/10</f>
        <v>-1000000</v>
      </c>
      <c r="G134" s="752">
        <f>$D$155/10</f>
        <v>-1000000</v>
      </c>
      <c r="H134" s="752">
        <f>$D$155/10</f>
        <v>-1000000</v>
      </c>
      <c r="I134" s="752">
        <f>$D$155/10</f>
        <v>-1000000</v>
      </c>
      <c r="P134" s="25"/>
      <c r="Q134" s="26"/>
      <c r="R134" s="26"/>
      <c r="S134" s="26"/>
      <c r="T134" s="26"/>
      <c r="U134" s="26"/>
      <c r="V134" s="26"/>
    </row>
    <row r="135" spans="3:22">
      <c r="C135" s="25"/>
      <c r="D135" s="752"/>
      <c r="E135" s="752"/>
      <c r="F135" s="752"/>
      <c r="G135" s="752"/>
      <c r="H135" s="752"/>
      <c r="I135" s="752"/>
      <c r="P135" s="25"/>
      <c r="Q135" s="26"/>
      <c r="R135" s="26"/>
      <c r="S135" s="26"/>
      <c r="T135" s="26"/>
      <c r="U135" s="26"/>
      <c r="V135" s="26"/>
    </row>
    <row r="136" spans="3:22">
      <c r="C136" s="25"/>
      <c r="D136" s="752"/>
      <c r="E136" s="752"/>
      <c r="F136" s="752"/>
      <c r="G136" s="752"/>
      <c r="H136" s="752"/>
      <c r="I136" s="756"/>
      <c r="P136" s="25"/>
      <c r="Q136" s="26"/>
      <c r="R136" s="26"/>
      <c r="S136" s="26"/>
      <c r="T136" s="26"/>
      <c r="U136" s="26"/>
      <c r="V136" s="26"/>
    </row>
    <row r="137" spans="3:22">
      <c r="C137" s="25" t="s">
        <v>944</v>
      </c>
      <c r="D137" s="752"/>
      <c r="E137" s="752"/>
      <c r="F137" s="752"/>
      <c r="G137" s="752"/>
      <c r="H137" s="752"/>
      <c r="I137" s="756">
        <f>E129*5</f>
        <v>-43500</v>
      </c>
      <c r="P137" s="25"/>
      <c r="Q137" s="26"/>
      <c r="R137" s="26"/>
      <c r="S137" s="26"/>
      <c r="T137" s="26"/>
      <c r="U137" s="26"/>
      <c r="V137" s="26"/>
    </row>
    <row r="138" spans="3:22">
      <c r="C138" s="25" t="s">
        <v>945</v>
      </c>
      <c r="D138" s="752"/>
      <c r="E138" s="752"/>
      <c r="F138" s="752"/>
      <c r="G138" s="752">
        <f>G134*2</f>
        <v>-2000000</v>
      </c>
      <c r="H138" s="757"/>
      <c r="I138" s="756">
        <f>E130*5</f>
        <v>-150000</v>
      </c>
      <c r="P138" s="25"/>
      <c r="Q138" s="26"/>
      <c r="R138" s="26"/>
      <c r="S138" s="26"/>
      <c r="T138" s="26"/>
      <c r="U138" s="26"/>
      <c r="V138" s="26"/>
    </row>
    <row r="139" spans="3:22">
      <c r="C139" s="25" t="s">
        <v>946</v>
      </c>
      <c r="D139" s="752"/>
      <c r="E139" s="752"/>
      <c r="F139" s="752"/>
      <c r="G139" s="752"/>
      <c r="H139" s="752"/>
      <c r="I139" s="759">
        <v>0</v>
      </c>
      <c r="P139" s="25"/>
      <c r="Q139" s="26"/>
      <c r="R139" s="26"/>
      <c r="S139" s="26"/>
      <c r="T139" s="26"/>
      <c r="U139" s="26"/>
      <c r="V139" s="26"/>
    </row>
    <row r="140" spans="3:22">
      <c r="C140" s="25" t="s">
        <v>947</v>
      </c>
      <c r="D140" s="752"/>
      <c r="E140" s="752"/>
      <c r="F140" s="752"/>
      <c r="G140" s="752"/>
      <c r="H140" s="752"/>
      <c r="I140" s="759">
        <v>0</v>
      </c>
      <c r="P140" s="25"/>
      <c r="Q140" s="26"/>
      <c r="R140" s="26"/>
      <c r="S140" s="26"/>
      <c r="T140" s="26"/>
      <c r="U140" s="26"/>
      <c r="V140" s="26"/>
    </row>
    <row r="141" spans="3:22">
      <c r="C141" s="25" t="s">
        <v>948</v>
      </c>
      <c r="D141" s="752"/>
      <c r="E141" s="752"/>
      <c r="F141" s="752"/>
      <c r="G141" s="752"/>
      <c r="H141" s="752"/>
      <c r="I141" s="759">
        <v>0</v>
      </c>
      <c r="P141" s="25"/>
      <c r="Q141" s="26"/>
      <c r="R141" s="26"/>
      <c r="S141" s="26"/>
      <c r="T141" s="26"/>
      <c r="U141" s="26"/>
      <c r="V141" s="26"/>
    </row>
    <row r="142" spans="3:22">
      <c r="C142" s="25" t="s">
        <v>949</v>
      </c>
      <c r="D142" s="752"/>
      <c r="E142" s="752"/>
      <c r="F142" s="752"/>
      <c r="G142" s="752"/>
      <c r="H142" s="752"/>
      <c r="I142" s="759">
        <f>E134*5</f>
        <v>-5000000</v>
      </c>
      <c r="P142" s="25"/>
      <c r="Q142" s="26"/>
      <c r="R142" s="26"/>
      <c r="S142" s="26"/>
      <c r="T142" s="26"/>
      <c r="U142" s="26"/>
      <c r="V142" s="26"/>
    </row>
    <row r="143" spans="3:22" ht="14.25">
      <c r="C143" s="31" t="s">
        <v>130</v>
      </c>
      <c r="D143" s="760"/>
      <c r="E143" s="760">
        <f>SUM(E104:E138)</f>
        <v>231252473.22034669</v>
      </c>
      <c r="F143" s="760">
        <f>SUM(F104:F138)</f>
        <v>238129408.30450809</v>
      </c>
      <c r="G143" s="760">
        <f>SUM(G104:G138)</f>
        <v>243070229.65421736</v>
      </c>
      <c r="H143" s="760">
        <f>SUM(H104:H138)</f>
        <v>252045115.77617756</v>
      </c>
      <c r="I143" s="760">
        <f>SUM(I104:I139)</f>
        <v>258852450.00139022</v>
      </c>
      <c r="K143" s="259"/>
      <c r="L143" s="259"/>
      <c r="M143" s="259"/>
      <c r="P143" s="31"/>
      <c r="Q143" s="32"/>
      <c r="R143" s="32"/>
      <c r="S143" s="32"/>
      <c r="T143" s="32"/>
      <c r="U143" s="32"/>
      <c r="V143" s="32"/>
    </row>
    <row r="144" spans="3:22">
      <c r="C144" s="33" t="s">
        <v>353</v>
      </c>
      <c r="D144" s="752"/>
      <c r="E144" s="752">
        <f>E143*0.1</f>
        <v>23125247.322034672</v>
      </c>
      <c r="F144" s="752">
        <f>F143*0.1</f>
        <v>23812940.83045081</v>
      </c>
      <c r="G144" s="752">
        <f>G143*0.1</f>
        <v>24307022.965421736</v>
      </c>
      <c r="H144" s="752">
        <f>H143*0.1</f>
        <v>25204511.577617757</v>
      </c>
      <c r="I144" s="752">
        <f>I143*0.1</f>
        <v>25885245.000139024</v>
      </c>
      <c r="K144" s="276"/>
      <c r="L144" s="259"/>
      <c r="M144" s="259"/>
      <c r="P144" s="33"/>
      <c r="Q144" s="26"/>
      <c r="R144" s="26"/>
      <c r="S144" s="26"/>
      <c r="T144" s="26"/>
      <c r="U144" s="26"/>
      <c r="V144" s="26"/>
    </row>
    <row r="145" spans="3:23" ht="28.5">
      <c r="C145" s="34" t="s">
        <v>132</v>
      </c>
      <c r="D145" s="761"/>
      <c r="E145" s="761">
        <f>E143-E144</f>
        <v>208127225.89831203</v>
      </c>
      <c r="F145" s="761">
        <f>F143-F144</f>
        <v>214316467.47405729</v>
      </c>
      <c r="G145" s="761">
        <f>G143-G144</f>
        <v>218763206.68879563</v>
      </c>
      <c r="H145" s="761">
        <f>H143-H144</f>
        <v>226840604.19855979</v>
      </c>
      <c r="I145" s="761">
        <f>I143-I144</f>
        <v>232967205.00125119</v>
      </c>
      <c r="P145" s="34"/>
      <c r="Q145" s="35"/>
      <c r="R145" s="35"/>
      <c r="S145" s="35"/>
      <c r="T145" s="35"/>
      <c r="U145" s="35"/>
      <c r="V145" s="35"/>
    </row>
    <row r="146" spans="3:23" ht="25.5" customHeight="1">
      <c r="C146" s="33" t="s">
        <v>133</v>
      </c>
      <c r="D146" s="756"/>
      <c r="E146" s="756">
        <f>SUM(E129:E139)*-1</f>
        <v>1122300</v>
      </c>
      <c r="F146" s="756">
        <f>SUM(F129:F139)*-1</f>
        <v>1122300</v>
      </c>
      <c r="G146" s="756">
        <f>SUM(G129:G139)*-1</f>
        <v>3122300</v>
      </c>
      <c r="H146" s="756">
        <f>SUM(H129:H139)*-1</f>
        <v>1122300</v>
      </c>
      <c r="I146" s="756">
        <f>SUM(I129:I139)*-1</f>
        <v>1315800</v>
      </c>
      <c r="J146" s="850" t="s">
        <v>984</v>
      </c>
      <c r="K146" s="850"/>
      <c r="L146" s="850"/>
      <c r="P146" s="33"/>
      <c r="Q146" s="26"/>
      <c r="R146" s="26"/>
      <c r="S146" s="26"/>
      <c r="T146" s="26"/>
      <c r="U146" s="26"/>
      <c r="V146" s="26"/>
    </row>
    <row r="147" spans="3:23" ht="26.25">
      <c r="C147" s="751" t="s">
        <v>712</v>
      </c>
      <c r="D147" s="254">
        <v>-593015.2533333333</v>
      </c>
      <c r="E147" s="254">
        <v>-17790.457600000016</v>
      </c>
      <c r="F147" s="254">
        <v>-18324.171328000015</v>
      </c>
      <c r="G147" s="254">
        <v>-18873.896467840015</v>
      </c>
      <c r="H147" s="254">
        <v>-19440.113361875217</v>
      </c>
      <c r="I147" s="764"/>
      <c r="J147" s="850" t="s">
        <v>985</v>
      </c>
      <c r="K147" s="850"/>
      <c r="L147" s="850"/>
      <c r="P147" s="284"/>
      <c r="Q147" s="26"/>
      <c r="R147" s="26"/>
      <c r="S147" s="26"/>
      <c r="T147" s="26"/>
      <c r="U147" s="26"/>
    </row>
    <row r="148" spans="3:23" ht="15">
      <c r="C148" s="25" t="s">
        <v>134</v>
      </c>
      <c r="D148" s="759"/>
      <c r="E148" s="820">
        <f>$P78*-1</f>
        <v>-90359.552596384659</v>
      </c>
      <c r="F148" s="820">
        <f>$P79*-1</f>
        <v>-178420.09685970377</v>
      </c>
      <c r="G148" s="820">
        <f>$P80*-1</f>
        <v>-352300.67047388013</v>
      </c>
      <c r="H148" s="820">
        <f>$P81*-1</f>
        <v>-695637.79305613041</v>
      </c>
      <c r="I148" s="820">
        <f>$P82*-1</f>
        <v>-1373576.5489094672</v>
      </c>
      <c r="J148" s="851"/>
      <c r="L148" s="852"/>
      <c r="P148" s="25"/>
      <c r="R148" s="26"/>
      <c r="S148" s="26"/>
      <c r="T148" s="26"/>
      <c r="U148" s="26"/>
      <c r="V148" s="26"/>
    </row>
    <row r="149" spans="3:23" ht="15">
      <c r="C149" s="25" t="s">
        <v>135</v>
      </c>
      <c r="D149" s="752">
        <f>(D150+D151+D152+D153+D154+D155)*0.5*-1</f>
        <v>5402500</v>
      </c>
      <c r="E149" s="752"/>
      <c r="F149" s="752"/>
      <c r="G149" s="752"/>
      <c r="H149" s="752"/>
      <c r="I149" s="752"/>
      <c r="J149" s="850" t="s">
        <v>986</v>
      </c>
      <c r="K149" s="850"/>
      <c r="L149" s="853"/>
      <c r="P149" s="286"/>
      <c r="R149" s="26"/>
      <c r="S149" s="26"/>
      <c r="T149" s="26"/>
      <c r="U149" s="26"/>
      <c r="V149" s="26"/>
    </row>
    <row r="150" spans="3:23" ht="15">
      <c r="C150" s="25" t="s">
        <v>937</v>
      </c>
      <c r="D150" s="752">
        <f>-1*87000</f>
        <v>-87000</v>
      </c>
      <c r="E150" s="752"/>
      <c r="F150" s="752"/>
      <c r="G150" s="752"/>
      <c r="H150" s="756"/>
      <c r="I150" s="752"/>
      <c r="J150" s="846" t="s">
        <v>982</v>
      </c>
      <c r="K150" s="847">
        <f>IRR(D158:I158)</f>
        <v>34.912135359342713</v>
      </c>
      <c r="P150" s="286"/>
      <c r="R150" s="5"/>
      <c r="S150" s="5"/>
      <c r="T150" s="5"/>
      <c r="U150" s="5"/>
      <c r="V150" s="26"/>
    </row>
    <row r="151" spans="3:23">
      <c r="C151" s="25" t="s">
        <v>932</v>
      </c>
      <c r="D151" s="752">
        <f>-1*300000</f>
        <v>-300000</v>
      </c>
      <c r="E151" s="752"/>
      <c r="F151" s="752"/>
      <c r="G151" s="752"/>
      <c r="H151" s="756"/>
      <c r="I151" s="752"/>
      <c r="P151" s="286"/>
      <c r="R151" s="5"/>
      <c r="S151" s="5"/>
      <c r="T151" s="5"/>
      <c r="U151" s="5"/>
      <c r="V151" s="26"/>
    </row>
    <row r="152" spans="3:23" ht="15.75">
      <c r="C152" s="25" t="s">
        <v>933</v>
      </c>
      <c r="D152" s="752">
        <f>48000*-1</f>
        <v>-48000</v>
      </c>
      <c r="E152" s="752"/>
      <c r="F152" s="752"/>
      <c r="G152" s="752"/>
      <c r="H152" s="756"/>
      <c r="I152" s="752"/>
      <c r="J152" s="848" t="s">
        <v>983</v>
      </c>
      <c r="K152" s="849">
        <f>(E158+F158+G158+H158+I158+D158)/(D158*-1)</f>
        <v>183.59171282019639</v>
      </c>
      <c r="P152" s="286"/>
      <c r="R152" s="5"/>
      <c r="S152" s="5"/>
      <c r="T152" s="5"/>
      <c r="U152" s="5"/>
      <c r="V152" s="26"/>
    </row>
    <row r="153" spans="3:23">
      <c r="C153" s="25" t="s">
        <v>934</v>
      </c>
      <c r="D153" s="752">
        <f>-1*120000</f>
        <v>-120000</v>
      </c>
      <c r="E153" s="752"/>
      <c r="F153" s="752"/>
      <c r="G153" s="752"/>
      <c r="H153" s="756"/>
      <c r="I153" s="752"/>
      <c r="P153" s="286"/>
      <c r="Q153" s="26"/>
      <c r="V153" s="26"/>
    </row>
    <row r="154" spans="3:23" ht="23.25">
      <c r="C154" s="25" t="s">
        <v>935</v>
      </c>
      <c r="D154" s="752">
        <f>-1*250000</f>
        <v>-250000</v>
      </c>
      <c r="E154" s="752"/>
      <c r="F154" s="752"/>
      <c r="G154" s="757"/>
      <c r="H154" s="758"/>
      <c r="I154" s="765"/>
      <c r="J154" s="1799" t="s">
        <v>989</v>
      </c>
      <c r="K154" s="1800"/>
      <c r="L154" s="1800"/>
      <c r="M154" s="1800"/>
      <c r="N154" s="1800"/>
      <c r="O154" s="1801"/>
      <c r="P154" s="286"/>
      <c r="Q154" s="26"/>
      <c r="R154" s="26"/>
      <c r="S154" s="26"/>
      <c r="T154" s="26"/>
      <c r="U154" s="26"/>
      <c r="V154" s="26"/>
    </row>
    <row r="155" spans="3:23">
      <c r="C155" s="25" t="s">
        <v>936</v>
      </c>
      <c r="D155" s="752">
        <f>-1*10000000</f>
        <v>-10000000</v>
      </c>
      <c r="E155" s="752"/>
      <c r="F155" s="752"/>
      <c r="G155" s="757"/>
      <c r="H155" s="758"/>
      <c r="I155" s="765"/>
      <c r="P155" s="286"/>
      <c r="Q155" s="26"/>
      <c r="R155" s="26"/>
      <c r="S155" s="26"/>
      <c r="T155" s="26"/>
      <c r="U155" s="26"/>
      <c r="V155" s="26"/>
    </row>
    <row r="156" spans="3:23">
      <c r="C156" s="25" t="s">
        <v>785</v>
      </c>
      <c r="D156" s="752"/>
      <c r="E156" s="752"/>
      <c r="F156" s="752"/>
      <c r="G156" s="757"/>
      <c r="H156" s="758"/>
      <c r="I156" s="765"/>
      <c r="P156" s="286"/>
      <c r="Q156" s="26"/>
      <c r="R156" s="26"/>
      <c r="S156" s="26"/>
      <c r="T156" s="26"/>
      <c r="U156" s="26"/>
      <c r="V156" s="26"/>
    </row>
    <row r="157" spans="3:23">
      <c r="C157" s="286" t="s">
        <v>412</v>
      </c>
      <c r="D157" s="752"/>
      <c r="E157" s="752"/>
      <c r="F157" s="752"/>
      <c r="G157" s="752"/>
      <c r="H157" s="759"/>
      <c r="I157" s="752">
        <f>(D147+E147+F147+G147+H147)*-1</f>
        <v>667443.89209104853</v>
      </c>
      <c r="J157" s="298" t="s">
        <v>29</v>
      </c>
      <c r="P157" s="286"/>
      <c r="Q157" s="26"/>
      <c r="R157" s="26"/>
      <c r="S157" s="26"/>
      <c r="T157" s="26"/>
      <c r="U157" s="26"/>
      <c r="V157" s="26"/>
    </row>
    <row r="158" spans="3:23" ht="14.25">
      <c r="C158" s="37" t="s">
        <v>139</v>
      </c>
      <c r="D158" s="761">
        <f t="shared" ref="D158:I158" si="4">SUM(D145:D157)</f>
        <v>-5995515.2533333329</v>
      </c>
      <c r="E158" s="761">
        <f t="shared" si="4"/>
        <v>209141375.88811564</v>
      </c>
      <c r="F158" s="761">
        <f t="shared" si="4"/>
        <v>215242023.20586959</v>
      </c>
      <c r="G158" s="761">
        <f t="shared" si="4"/>
        <v>221514332.12185392</v>
      </c>
      <c r="H158" s="761">
        <f t="shared" si="4"/>
        <v>227247826.2921418</v>
      </c>
      <c r="I158" s="761">
        <f t="shared" si="4"/>
        <v>233576872.34443277</v>
      </c>
      <c r="J158" s="790">
        <f>NPV(C180,E158:I158)+D158</f>
        <v>767323484.75871289</v>
      </c>
      <c r="P158" s="37"/>
      <c r="Q158" s="35"/>
      <c r="R158" s="35"/>
      <c r="S158" s="35"/>
      <c r="T158" s="35"/>
      <c r="U158" s="35"/>
      <c r="V158" s="35"/>
      <c r="W158" s="297"/>
    </row>
    <row r="159" spans="3:23">
      <c r="C159" s="3"/>
      <c r="E159" s="5"/>
      <c r="F159" s="5"/>
      <c r="G159" s="5"/>
      <c r="H159" s="5"/>
      <c r="I159" s="5"/>
    </row>
    <row r="161" spans="2:17" ht="43.5" customHeight="1">
      <c r="E161" s="297"/>
      <c r="J161" s="1802" t="s">
        <v>990</v>
      </c>
      <c r="K161" s="1802"/>
      <c r="L161" s="1802"/>
      <c r="M161" s="1802"/>
      <c r="N161" s="1802"/>
      <c r="O161" s="1802"/>
    </row>
    <row r="162" spans="2:17" ht="26.25">
      <c r="C162" s="1798" t="s">
        <v>980</v>
      </c>
      <c r="D162" s="1798"/>
      <c r="E162" s="1798"/>
      <c r="F162" s="1798"/>
      <c r="G162" s="1798"/>
      <c r="H162" s="1798"/>
      <c r="I162" s="1798"/>
    </row>
    <row r="163" spans="2:17" ht="12.75" customHeight="1" thickBot="1">
      <c r="N163" s="299"/>
      <c r="O163" s="299"/>
      <c r="P163" s="299"/>
      <c r="Q163" s="299"/>
    </row>
    <row r="164" spans="2:17">
      <c r="B164" s="1791" t="s">
        <v>978</v>
      </c>
      <c r="C164" s="1797"/>
      <c r="D164" s="1792"/>
      <c r="N164" s="299"/>
      <c r="O164" s="299"/>
      <c r="P164" s="299"/>
      <c r="Q164" s="299"/>
    </row>
    <row r="165" spans="2:17" ht="15">
      <c r="B165" s="836" t="s">
        <v>143</v>
      </c>
      <c r="C165" s="834">
        <f>C166+C167*(C168-C166)+C173</f>
        <v>18.315999999999999</v>
      </c>
      <c r="D165" s="837" t="s">
        <v>970</v>
      </c>
      <c r="E165" s="827"/>
      <c r="N165" s="299"/>
      <c r="O165" s="299"/>
      <c r="P165" s="299"/>
      <c r="Q165" s="299"/>
    </row>
    <row r="166" spans="2:17" ht="15">
      <c r="B166" s="836" t="s">
        <v>144</v>
      </c>
      <c r="C166" s="828">
        <f>0.02</f>
        <v>0.02</v>
      </c>
      <c r="D166" s="838" t="s">
        <v>971</v>
      </c>
      <c r="E166" s="827"/>
      <c r="N166" s="299"/>
      <c r="O166" s="299"/>
      <c r="P166" s="299"/>
      <c r="Q166" s="299"/>
    </row>
    <row r="167" spans="2:17" ht="14.25">
      <c r="B167" s="839" t="s">
        <v>7</v>
      </c>
      <c r="C167" s="828">
        <v>1.2</v>
      </c>
      <c r="D167" s="770"/>
      <c r="E167" s="827"/>
      <c r="K167" s="299"/>
      <c r="L167" s="299"/>
      <c r="M167" s="299"/>
      <c r="N167" s="299"/>
    </row>
    <row r="168" spans="2:17" ht="14.25">
      <c r="B168" s="839" t="s">
        <v>146</v>
      </c>
      <c r="C168" s="829">
        <v>0</v>
      </c>
      <c r="D168" s="838" t="s">
        <v>972</v>
      </c>
      <c r="E168" s="827"/>
      <c r="K168" s="299"/>
      <c r="L168" s="299"/>
      <c r="M168" s="299"/>
      <c r="N168" s="299"/>
    </row>
    <row r="169" spans="2:17" ht="14.25">
      <c r="B169" s="839" t="s">
        <v>148</v>
      </c>
      <c r="C169" s="828">
        <v>0.35</v>
      </c>
      <c r="D169" s="838" t="s">
        <v>973</v>
      </c>
      <c r="E169" s="827"/>
      <c r="K169" s="299"/>
      <c r="L169" s="299"/>
      <c r="M169" s="299"/>
      <c r="N169" s="299"/>
    </row>
    <row r="170" spans="2:17" ht="14.25">
      <c r="B170" s="840" t="s">
        <v>150</v>
      </c>
      <c r="C170" s="830">
        <v>0.97</v>
      </c>
      <c r="D170" s="838" t="s">
        <v>974</v>
      </c>
      <c r="E170" s="827"/>
      <c r="G170" s="25"/>
      <c r="H170" s="25" t="s">
        <v>483</v>
      </c>
      <c r="I170" s="25" t="s">
        <v>484</v>
      </c>
      <c r="K170" s="299"/>
      <c r="L170" s="299"/>
      <c r="M170" s="299"/>
      <c r="N170" s="299"/>
    </row>
    <row r="171" spans="2:17" ht="14.25">
      <c r="B171" s="839" t="s">
        <v>152</v>
      </c>
      <c r="C171" s="831">
        <v>0.5</v>
      </c>
      <c r="D171" s="837" t="s">
        <v>975</v>
      </c>
      <c r="E171" s="827"/>
      <c r="G171" s="25" t="s">
        <v>485</v>
      </c>
      <c r="H171" s="343"/>
      <c r="I171" s="134"/>
      <c r="K171" s="299"/>
      <c r="L171" s="299"/>
      <c r="M171" s="299"/>
      <c r="N171" s="299"/>
    </row>
    <row r="172" spans="2:17" ht="14.25">
      <c r="B172" s="839" t="s">
        <v>154</v>
      </c>
      <c r="C172" s="831">
        <v>0.5</v>
      </c>
      <c r="D172" s="838" t="s">
        <v>976</v>
      </c>
      <c r="E172" s="827"/>
      <c r="G172" s="25" t="s">
        <v>486</v>
      </c>
      <c r="H172" s="343"/>
      <c r="I172" s="134"/>
      <c r="N172" s="299"/>
      <c r="O172" s="299"/>
      <c r="P172" s="299"/>
      <c r="Q172" s="299"/>
    </row>
    <row r="173" spans="2:17" ht="14.25">
      <c r="B173" s="839" t="s">
        <v>969</v>
      </c>
      <c r="C173" s="824">
        <v>18.32</v>
      </c>
      <c r="D173" s="841" t="s">
        <v>968</v>
      </c>
      <c r="E173" s="827"/>
      <c r="G173" s="25" t="s">
        <v>487</v>
      </c>
      <c r="H173" s="343"/>
      <c r="I173" s="134"/>
      <c r="N173" s="299"/>
      <c r="O173" s="299"/>
      <c r="P173" s="299"/>
      <c r="Q173" s="299"/>
    </row>
    <row r="174" spans="2:17" ht="15" thickBot="1">
      <c r="B174" s="842" t="s">
        <v>140</v>
      </c>
      <c r="C174" s="843">
        <f>(C165*C171)+(C170*C172*(1-C169))</f>
        <v>9.4732500000000002</v>
      </c>
      <c r="D174" s="771"/>
      <c r="E174" s="827"/>
      <c r="G174" s="271" t="s">
        <v>150</v>
      </c>
      <c r="H174" s="344"/>
      <c r="I174" s="25"/>
      <c r="J174" t="e">
        <f>H171*I171/(H171+H172)</f>
        <v>#DIV/0!</v>
      </c>
      <c r="N174" s="299"/>
      <c r="O174" s="299"/>
      <c r="P174" s="299"/>
      <c r="Q174" s="299"/>
    </row>
    <row r="175" spans="2:17">
      <c r="N175" s="299"/>
      <c r="O175" s="299"/>
      <c r="P175" s="299"/>
      <c r="Q175" s="299"/>
    </row>
    <row r="176" spans="2:17" ht="15">
      <c r="G176" s="345" t="s">
        <v>488</v>
      </c>
      <c r="H176" s="346"/>
      <c r="I176" t="s">
        <v>498</v>
      </c>
      <c r="N176" s="299"/>
      <c r="O176" s="299"/>
      <c r="P176" s="299"/>
      <c r="Q176" s="299"/>
    </row>
    <row r="177" spans="2:15" ht="15">
      <c r="G177" s="345" t="s">
        <v>489</v>
      </c>
      <c r="H177" s="346">
        <v>0.75</v>
      </c>
      <c r="I177" s="347" t="s">
        <v>490</v>
      </c>
    </row>
    <row r="178" spans="2:15" ht="15">
      <c r="G178" s="345" t="s">
        <v>491</v>
      </c>
      <c r="H178" s="346">
        <v>0.25</v>
      </c>
      <c r="I178" s="347" t="s">
        <v>492</v>
      </c>
    </row>
    <row r="179" spans="2:15" ht="15.75" thickBot="1">
      <c r="C179" s="845" t="s">
        <v>981</v>
      </c>
      <c r="D179" s="845"/>
      <c r="G179" s="345" t="s">
        <v>493</v>
      </c>
      <c r="H179" s="346"/>
      <c r="I179" t="s">
        <v>494</v>
      </c>
      <c r="M179" t="s">
        <v>448</v>
      </c>
      <c r="N179" s="304">
        <v>150000</v>
      </c>
      <c r="O179" s="352"/>
    </row>
    <row r="180" spans="2:15" ht="15">
      <c r="B180" s="40" t="s">
        <v>140</v>
      </c>
      <c r="C180" s="844">
        <v>0.13</v>
      </c>
      <c r="G180" s="345" t="s">
        <v>495</v>
      </c>
      <c r="H180" s="346"/>
      <c r="I180" t="s">
        <v>496</v>
      </c>
      <c r="M180" t="s">
        <v>448</v>
      </c>
      <c r="N180" s="305">
        <v>160000</v>
      </c>
      <c r="O180" s="353"/>
    </row>
    <row r="181" spans="2:15" ht="15.75" thickBot="1">
      <c r="B181" s="42" t="s">
        <v>141</v>
      </c>
      <c r="C181" s="43" t="s">
        <v>142</v>
      </c>
      <c r="M181" t="s">
        <v>449</v>
      </c>
    </row>
    <row r="182" spans="2:15" ht="15.75" thickBot="1">
      <c r="B182" s="44" t="s">
        <v>143</v>
      </c>
      <c r="C182" s="835">
        <f>C183+C190+C184*(C185-C183)</f>
        <v>18.315999999999999</v>
      </c>
      <c r="D182" t="s">
        <v>977</v>
      </c>
      <c r="G182" s="348" t="s">
        <v>497</v>
      </c>
      <c r="H182" s="349">
        <f>H176*H177+H179*H178*(1-H180)</f>
        <v>0</v>
      </c>
    </row>
    <row r="183" spans="2:15" ht="15">
      <c r="B183" s="44" t="s">
        <v>144</v>
      </c>
      <c r="C183" s="821">
        <v>0.02</v>
      </c>
      <c r="D183" s="785" t="s">
        <v>889</v>
      </c>
    </row>
    <row r="184" spans="2:15" ht="18.75" thickBot="1">
      <c r="B184" s="47" t="s">
        <v>7</v>
      </c>
      <c r="C184" s="784">
        <v>1.2</v>
      </c>
      <c r="D184" s="786" t="s">
        <v>886</v>
      </c>
      <c r="I184" s="350" t="s">
        <v>502</v>
      </c>
    </row>
    <row r="185" spans="2:15" ht="18.75" thickBot="1">
      <c r="B185" s="47" t="s">
        <v>146</v>
      </c>
      <c r="C185" s="49">
        <v>0</v>
      </c>
      <c r="D185" s="4" t="s">
        <v>890</v>
      </c>
      <c r="I185" s="350" t="s">
        <v>883</v>
      </c>
    </row>
    <row r="186" spans="2:15" ht="18">
      <c r="B186" s="47" t="s">
        <v>148</v>
      </c>
      <c r="C186" s="49">
        <v>0.35</v>
      </c>
      <c r="D186" s="4" t="s">
        <v>891</v>
      </c>
      <c r="F186" s="1793" t="s">
        <v>966</v>
      </c>
      <c r="G186" s="1794"/>
      <c r="I186" s="350" t="s">
        <v>884</v>
      </c>
    </row>
    <row r="187" spans="2:15" ht="18.75" thickBot="1">
      <c r="B187" s="47" t="s">
        <v>150</v>
      </c>
      <c r="C187" s="49">
        <v>0.97</v>
      </c>
      <c r="D187" s="4" t="s">
        <v>979</v>
      </c>
      <c r="F187" s="1795" t="s">
        <v>967</v>
      </c>
      <c r="G187" s="1796"/>
      <c r="I187" s="350" t="s">
        <v>885</v>
      </c>
    </row>
    <row r="188" spans="2:15">
      <c r="B188" s="47" t="s">
        <v>152</v>
      </c>
      <c r="C188" s="49">
        <v>0.5</v>
      </c>
      <c r="D188" s="4"/>
      <c r="E188" s="4"/>
      <c r="F188" s="4"/>
    </row>
    <row r="189" spans="2:15" ht="13.5" thickBot="1">
      <c r="B189" s="50" t="s">
        <v>154</v>
      </c>
      <c r="C189" s="51">
        <v>0.5</v>
      </c>
      <c r="D189" s="4"/>
      <c r="E189" s="4"/>
      <c r="F189" s="4"/>
    </row>
    <row r="190" spans="2:15" ht="14.25">
      <c r="B190" s="823" t="s">
        <v>969</v>
      </c>
      <c r="C190" s="833">
        <v>18.32</v>
      </c>
      <c r="D190" s="822" t="s">
        <v>968</v>
      </c>
    </row>
    <row r="191" spans="2:15" ht="14.25">
      <c r="B191" s="825"/>
      <c r="C191" s="832"/>
      <c r="D191" s="822"/>
    </row>
    <row r="192" spans="2:15" ht="14.25">
      <c r="B192" s="825"/>
      <c r="C192" s="826"/>
      <c r="D192" s="822"/>
    </row>
    <row r="193" spans="2:16" ht="15.75">
      <c r="B193" s="570" t="s">
        <v>143</v>
      </c>
      <c r="C193" s="571">
        <f>C195+C194*(C196-C195)</f>
        <v>0.41000000000000003</v>
      </c>
      <c r="D193" t="s">
        <v>744</v>
      </c>
      <c r="L193" s="579"/>
    </row>
    <row r="194" spans="2:16" ht="14.25">
      <c r="B194" s="570" t="s">
        <v>745</v>
      </c>
      <c r="C194" s="491">
        <v>1.8</v>
      </c>
      <c r="D194" t="s">
        <v>746</v>
      </c>
    </row>
    <row r="195" spans="2:16" ht="14.25">
      <c r="B195" s="570" t="s">
        <v>144</v>
      </c>
      <c r="C195" s="572">
        <v>0.05</v>
      </c>
      <c r="D195" t="s">
        <v>747</v>
      </c>
      <c r="N195" s="580">
        <f>L208</f>
        <v>37500000</v>
      </c>
      <c r="O195" s="208">
        <v>1</v>
      </c>
    </row>
    <row r="196" spans="2:16" ht="14.25">
      <c r="B196" s="570" t="s">
        <v>146</v>
      </c>
      <c r="C196" s="572">
        <v>0.25</v>
      </c>
      <c r="N196" s="580">
        <f>L205</f>
        <v>3000000</v>
      </c>
      <c r="O196" s="581">
        <f>(N196*O195)/N195</f>
        <v>0.08</v>
      </c>
    </row>
    <row r="198" spans="2:16">
      <c r="N198" s="580">
        <f>L208</f>
        <v>37500000</v>
      </c>
      <c r="O198" s="208">
        <v>1</v>
      </c>
    </row>
    <row r="199" spans="2:16" ht="14.25">
      <c r="B199" s="570"/>
      <c r="C199" s="574"/>
      <c r="D199" s="574"/>
      <c r="E199" s="574"/>
      <c r="F199" s="574"/>
      <c r="G199" s="574"/>
      <c r="H199" s="574"/>
      <c r="N199" s="582">
        <f>L206</f>
        <v>4500000</v>
      </c>
      <c r="O199" s="583">
        <f>(N199*O198)/N198</f>
        <v>0.12</v>
      </c>
    </row>
    <row r="200" spans="2:16">
      <c r="C200" s="303"/>
      <c r="D200" s="303"/>
      <c r="E200" s="303"/>
      <c r="F200" s="303"/>
      <c r="G200" s="303"/>
      <c r="H200" s="303"/>
    </row>
    <row r="201" spans="2:16">
      <c r="C201" s="303"/>
      <c r="D201" s="303"/>
      <c r="E201" s="303"/>
      <c r="F201" s="303"/>
      <c r="G201" s="303"/>
      <c r="H201" s="303"/>
      <c r="L201" t="s">
        <v>751</v>
      </c>
      <c r="N201" s="580">
        <f>L208</f>
        <v>37500000</v>
      </c>
      <c r="O201" s="208">
        <v>1</v>
      </c>
    </row>
    <row r="202" spans="2:16" ht="14.25">
      <c r="C202" s="575"/>
      <c r="D202" s="576"/>
      <c r="E202" s="574"/>
      <c r="F202" s="584"/>
      <c r="G202" s="576"/>
      <c r="H202" s="576"/>
      <c r="N202" s="582">
        <f>L207</f>
        <v>30000000</v>
      </c>
      <c r="O202" s="585">
        <f>(N202*O201)/N201</f>
        <v>0.8</v>
      </c>
    </row>
    <row r="204" spans="2:16" ht="14.25">
      <c r="L204" s="570" t="s">
        <v>752</v>
      </c>
      <c r="N204" s="576" t="s">
        <v>1103</v>
      </c>
    </row>
    <row r="205" spans="2:16" ht="14.25">
      <c r="B205" s="570"/>
      <c r="C205" s="578"/>
      <c r="L205" s="582">
        <v>3000000</v>
      </c>
      <c r="N205" s="468">
        <v>0.5</v>
      </c>
      <c r="O205" s="586">
        <f>L205/$L$208</f>
        <v>0.08</v>
      </c>
      <c r="P205" s="578">
        <f>N205*O205</f>
        <v>0.04</v>
      </c>
    </row>
    <row r="206" spans="2:16" ht="15" thickBot="1">
      <c r="L206" s="582">
        <v>4500000</v>
      </c>
      <c r="N206" s="468">
        <v>0.35</v>
      </c>
      <c r="O206" s="587">
        <f>L206/$L$208</f>
        <v>0.12</v>
      </c>
      <c r="P206" s="578">
        <f>N206*O206</f>
        <v>4.1999999999999996E-2</v>
      </c>
    </row>
    <row r="207" spans="2:16" ht="15" thickBot="1">
      <c r="C207" s="1782" t="s">
        <v>888</v>
      </c>
      <c r="D207" s="1783"/>
      <c r="E207" s="1783"/>
      <c r="F207" s="1783"/>
      <c r="G207" s="1783"/>
      <c r="H207" s="1783"/>
      <c r="I207" s="1784"/>
      <c r="L207" s="588">
        <v>30000000</v>
      </c>
      <c r="N207" s="468">
        <v>0.48</v>
      </c>
      <c r="O207" s="590">
        <f>L207/$L$208</f>
        <v>0.8</v>
      </c>
      <c r="P207" s="578">
        <f>N207*O207</f>
        <v>0.38400000000000001</v>
      </c>
    </row>
    <row r="208" spans="2:16" ht="15">
      <c r="C208" s="772" t="s">
        <v>143</v>
      </c>
      <c r="D208" s="773">
        <f>D210+D209*(D211-D210)</f>
        <v>0.41000000000000003</v>
      </c>
      <c r="E208" s="774" t="s">
        <v>744</v>
      </c>
      <c r="F208" s="774"/>
      <c r="G208" s="774"/>
      <c r="H208" s="774"/>
      <c r="I208" s="775"/>
      <c r="L208" s="582">
        <f>SUM(L205:L207)</f>
        <v>37500000</v>
      </c>
      <c r="N208" s="491"/>
      <c r="P208" s="591">
        <f>SUM(P205:P207)</f>
        <v>0.46599999999999997</v>
      </c>
    </row>
    <row r="209" spans="3:14" ht="14.25">
      <c r="C209" s="776" t="s">
        <v>745</v>
      </c>
      <c r="D209" s="777">
        <v>1.8</v>
      </c>
      <c r="E209" s="257" t="s">
        <v>746</v>
      </c>
      <c r="F209" s="257"/>
      <c r="G209" s="257"/>
      <c r="H209" s="257"/>
      <c r="I209" s="778"/>
      <c r="N209" s="491"/>
    </row>
    <row r="210" spans="3:14" ht="14.25">
      <c r="C210" s="776" t="s">
        <v>144</v>
      </c>
      <c r="D210" s="779">
        <v>0.05</v>
      </c>
      <c r="E210" s="257" t="s">
        <v>747</v>
      </c>
      <c r="F210" s="257"/>
      <c r="G210" s="257"/>
      <c r="H210" s="257"/>
      <c r="I210" s="778"/>
    </row>
    <row r="211" spans="3:14" ht="14.25">
      <c r="C211" s="776" t="s">
        <v>146</v>
      </c>
      <c r="D211" s="779">
        <v>0.25</v>
      </c>
      <c r="E211" s="257"/>
      <c r="F211" s="257"/>
      <c r="G211" s="257"/>
      <c r="H211" s="257"/>
      <c r="I211" s="778"/>
      <c r="L211" s="548"/>
      <c r="M211" s="548"/>
      <c r="N211" s="548"/>
    </row>
    <row r="212" spans="3:14" ht="13.5" thickBot="1">
      <c r="C212" s="780"/>
      <c r="D212" s="781"/>
      <c r="E212" s="781"/>
      <c r="F212" s="781"/>
      <c r="G212" s="781"/>
      <c r="H212" s="781"/>
      <c r="I212" s="782"/>
      <c r="M212" s="787"/>
      <c r="N212" s="788"/>
    </row>
    <row r="213" spans="3:14">
      <c r="M213" s="787"/>
    </row>
    <row r="214" spans="3:14" ht="14.25">
      <c r="M214" s="789"/>
    </row>
  </sheetData>
  <mergeCells count="25">
    <mergeCell ref="M45:O45"/>
    <mergeCell ref="A2:B12"/>
    <mergeCell ref="M30:N30"/>
    <mergeCell ref="O35:S35"/>
    <mergeCell ref="M41:O41"/>
    <mergeCell ref="M42:O42"/>
    <mergeCell ref="D61:D67"/>
    <mergeCell ref="V66:Y66"/>
    <mergeCell ref="M75:Q75"/>
    <mergeCell ref="B84:K84"/>
    <mergeCell ref="N85:O91"/>
    <mergeCell ref="K86:K90"/>
    <mergeCell ref="L86:L89"/>
    <mergeCell ref="M86:M90"/>
    <mergeCell ref="E91:F91"/>
    <mergeCell ref="S75:X75"/>
    <mergeCell ref="J129:M129"/>
    <mergeCell ref="C207:I207"/>
    <mergeCell ref="F94:G94"/>
    <mergeCell ref="F186:G186"/>
    <mergeCell ref="F187:G187"/>
    <mergeCell ref="B164:D164"/>
    <mergeCell ref="C162:I162"/>
    <mergeCell ref="J154:O154"/>
    <mergeCell ref="J161:O161"/>
  </mergeCells>
  <conditionalFormatting sqref="G63:K63">
    <cfRule type="containsText" dxfId="18"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61889-2F73-403B-90B6-42734854EEA1}">
  <sheetPr>
    <outlinePr summaryBelow="0" summaryRight="0"/>
  </sheetPr>
  <dimension ref="A1:AB99"/>
  <sheetViews>
    <sheetView topLeftCell="A61" zoomScaleNormal="100" workbookViewId="0">
      <selection activeCell="J77" sqref="J73:J77"/>
    </sheetView>
  </sheetViews>
  <sheetFormatPr defaultColWidth="14.42578125" defaultRowHeight="15" customHeight="1"/>
  <cols>
    <col min="1" max="1" width="14.42578125" style="384"/>
    <col min="2" max="2" width="37" style="384" customWidth="1"/>
    <col min="3" max="3" width="17.42578125" style="384" bestFit="1" customWidth="1"/>
    <col min="4" max="4" width="18.140625" style="384" customWidth="1"/>
    <col min="5" max="5" width="18.7109375" style="384" bestFit="1" customWidth="1"/>
    <col min="6" max="6" width="22.85546875" style="384" customWidth="1"/>
    <col min="7" max="7" width="19.14062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16384" width="14.42578125" style="384"/>
  </cols>
  <sheetData>
    <row r="1" spans="1:28" ht="14.25">
      <c r="A1" s="448"/>
    </row>
    <row r="2" spans="1:28" ht="15" customHeight="1">
      <c r="B2" s="1726" t="s">
        <v>628</v>
      </c>
      <c r="C2" s="1726"/>
    </row>
    <row r="3" spans="1:28" ht="15" customHeight="1">
      <c r="B3" s="1726"/>
      <c r="C3" s="1726"/>
      <c r="Q3" s="449" t="s">
        <v>629</v>
      </c>
      <c r="R3" s="449">
        <v>130000</v>
      </c>
      <c r="S3" s="384" t="s">
        <v>630</v>
      </c>
    </row>
    <row r="4" spans="1:28" ht="15" customHeight="1">
      <c r="B4" s="1726"/>
      <c r="C4" s="1726"/>
      <c r="Q4" s="449" t="s">
        <v>631</v>
      </c>
      <c r="R4" s="450">
        <v>9000</v>
      </c>
    </row>
    <row r="5" spans="1:28"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row>
    <row r="6" spans="1:28"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row>
    <row r="7" spans="1:28" ht="15" customHeight="1">
      <c r="B7" s="458" t="s">
        <v>958</v>
      </c>
      <c r="C7" s="459">
        <v>1800</v>
      </c>
      <c r="D7" s="452"/>
      <c r="E7" s="452">
        <f>$C$7</f>
        <v>1800</v>
      </c>
      <c r="F7" s="452">
        <f t="shared" ref="F7:AB7" si="0">$C$7</f>
        <v>1800</v>
      </c>
      <c r="G7" s="452">
        <f t="shared" si="0"/>
        <v>1800</v>
      </c>
      <c r="H7" s="452">
        <f t="shared" si="0"/>
        <v>1800</v>
      </c>
      <c r="I7" s="452">
        <f t="shared" si="0"/>
        <v>1800</v>
      </c>
      <c r="J7" s="452">
        <f t="shared" si="0"/>
        <v>1800</v>
      </c>
      <c r="K7" s="452">
        <f t="shared" si="0"/>
        <v>1800</v>
      </c>
      <c r="L7" s="452">
        <f t="shared" si="0"/>
        <v>1800</v>
      </c>
      <c r="M7" s="452">
        <f t="shared" si="0"/>
        <v>1800</v>
      </c>
      <c r="N7" s="452">
        <f t="shared" si="0"/>
        <v>1800</v>
      </c>
      <c r="O7" s="452">
        <f t="shared" si="0"/>
        <v>1800</v>
      </c>
      <c r="P7" s="452">
        <f t="shared" si="0"/>
        <v>1800</v>
      </c>
      <c r="Q7" s="452">
        <f t="shared" si="0"/>
        <v>1800</v>
      </c>
      <c r="R7" s="452">
        <f t="shared" si="0"/>
        <v>1800</v>
      </c>
      <c r="S7" s="452">
        <f t="shared" si="0"/>
        <v>1800</v>
      </c>
      <c r="T7" s="452">
        <f t="shared" si="0"/>
        <v>1800</v>
      </c>
      <c r="U7" s="452">
        <f t="shared" si="0"/>
        <v>1800</v>
      </c>
      <c r="V7" s="452">
        <f t="shared" si="0"/>
        <v>1800</v>
      </c>
      <c r="W7" s="452">
        <f t="shared" si="0"/>
        <v>1800</v>
      </c>
      <c r="X7" s="452">
        <f t="shared" si="0"/>
        <v>1800</v>
      </c>
      <c r="Y7" s="452">
        <f t="shared" si="0"/>
        <v>1800</v>
      </c>
      <c r="Z7" s="452">
        <f t="shared" si="0"/>
        <v>1800</v>
      </c>
      <c r="AA7" s="452">
        <f t="shared" si="0"/>
        <v>1800</v>
      </c>
      <c r="AB7" s="452">
        <f t="shared" si="0"/>
        <v>1800</v>
      </c>
    </row>
    <row r="8" spans="1:28" ht="15" customHeight="1">
      <c r="B8" s="458" t="s">
        <v>959</v>
      </c>
      <c r="C8" s="459">
        <v>1200</v>
      </c>
      <c r="D8" s="452"/>
      <c r="E8" s="452">
        <f>$C$8</f>
        <v>1200</v>
      </c>
      <c r="F8" s="452">
        <f t="shared" ref="F8:AB8" si="1">$C$8</f>
        <v>1200</v>
      </c>
      <c r="G8" s="452">
        <f t="shared" si="1"/>
        <v>1200</v>
      </c>
      <c r="H8" s="452">
        <f t="shared" si="1"/>
        <v>1200</v>
      </c>
      <c r="I8" s="452">
        <f t="shared" si="1"/>
        <v>1200</v>
      </c>
      <c r="J8" s="452">
        <f t="shared" si="1"/>
        <v>1200</v>
      </c>
      <c r="K8" s="452">
        <f t="shared" si="1"/>
        <v>1200</v>
      </c>
      <c r="L8" s="452">
        <f t="shared" si="1"/>
        <v>1200</v>
      </c>
      <c r="M8" s="452">
        <f t="shared" si="1"/>
        <v>1200</v>
      </c>
      <c r="N8" s="452">
        <f t="shared" si="1"/>
        <v>1200</v>
      </c>
      <c r="O8" s="452">
        <f t="shared" si="1"/>
        <v>1200</v>
      </c>
      <c r="P8" s="452">
        <f t="shared" si="1"/>
        <v>1200</v>
      </c>
      <c r="Q8" s="452">
        <f t="shared" si="1"/>
        <v>1200</v>
      </c>
      <c r="R8" s="452">
        <f t="shared" si="1"/>
        <v>1200</v>
      </c>
      <c r="S8" s="452">
        <f t="shared" si="1"/>
        <v>1200</v>
      </c>
      <c r="T8" s="452">
        <f t="shared" si="1"/>
        <v>1200</v>
      </c>
      <c r="U8" s="452">
        <f t="shared" si="1"/>
        <v>1200</v>
      </c>
      <c r="V8" s="452">
        <f t="shared" si="1"/>
        <v>1200</v>
      </c>
      <c r="W8" s="452">
        <f t="shared" si="1"/>
        <v>1200</v>
      </c>
      <c r="X8" s="452">
        <f t="shared" si="1"/>
        <v>1200</v>
      </c>
      <c r="Y8" s="452">
        <f t="shared" si="1"/>
        <v>1200</v>
      </c>
      <c r="Z8" s="452">
        <f t="shared" si="1"/>
        <v>1200</v>
      </c>
      <c r="AA8" s="452">
        <f t="shared" si="1"/>
        <v>1200</v>
      </c>
      <c r="AB8" s="452">
        <f t="shared" si="1"/>
        <v>1200</v>
      </c>
    </row>
    <row r="9" spans="1:28" ht="15" customHeight="1">
      <c r="B9" s="460" t="s">
        <v>961</v>
      </c>
      <c r="C9" s="450">
        <v>900</v>
      </c>
      <c r="D9" s="452"/>
      <c r="E9" s="452"/>
      <c r="F9" s="452"/>
      <c r="G9" s="452"/>
      <c r="H9" s="452"/>
      <c r="Q9" s="452"/>
      <c r="R9" s="452"/>
      <c r="S9" s="452"/>
      <c r="T9" s="452"/>
    </row>
    <row r="10" spans="1:28" ht="15" customHeight="1">
      <c r="B10" s="460" t="s">
        <v>960</v>
      </c>
      <c r="C10" s="450">
        <v>1299</v>
      </c>
      <c r="D10" s="452"/>
      <c r="E10" s="452"/>
      <c r="F10" s="452"/>
      <c r="G10" s="452"/>
      <c r="H10" s="452"/>
      <c r="Q10" s="452"/>
      <c r="R10" s="452"/>
      <c r="S10" s="452"/>
      <c r="T10" s="452"/>
    </row>
    <row r="11" spans="1:28" ht="15" customHeight="1">
      <c r="B11" s="461" t="s">
        <v>635</v>
      </c>
      <c r="C11" s="462">
        <v>0</v>
      </c>
      <c r="D11" s="452"/>
      <c r="E11" s="463">
        <f>$C$11*$C$9*E7</f>
        <v>0</v>
      </c>
      <c r="F11" s="463">
        <f t="shared" ref="F11:P11" si="2">$C$11*$C$9*F7</f>
        <v>0</v>
      </c>
      <c r="G11" s="463">
        <f t="shared" si="2"/>
        <v>0</v>
      </c>
      <c r="H11" s="463">
        <f t="shared" si="2"/>
        <v>0</v>
      </c>
      <c r="I11" s="463">
        <f t="shared" si="2"/>
        <v>0</v>
      </c>
      <c r="J11" s="463">
        <f t="shared" si="2"/>
        <v>0</v>
      </c>
      <c r="K11" s="463">
        <f t="shared" si="2"/>
        <v>0</v>
      </c>
      <c r="L11" s="463">
        <f t="shared" si="2"/>
        <v>0</v>
      </c>
      <c r="M11" s="463">
        <f t="shared" si="2"/>
        <v>0</v>
      </c>
      <c r="N11" s="463">
        <f t="shared" si="2"/>
        <v>0</v>
      </c>
      <c r="O11" s="463">
        <f t="shared" si="2"/>
        <v>0</v>
      </c>
      <c r="P11" s="463">
        <f t="shared" si="2"/>
        <v>0</v>
      </c>
      <c r="Q11" s="463">
        <f>$C$11*R4*Q7</f>
        <v>0</v>
      </c>
      <c r="R11" s="463">
        <f>$C$11*R4*R7</f>
        <v>0</v>
      </c>
      <c r="S11" s="463">
        <f>$C$11*R4*S7</f>
        <v>0</v>
      </c>
      <c r="T11" s="463">
        <f>$C$11*R4*T7</f>
        <v>0</v>
      </c>
      <c r="U11" s="463">
        <f>$C$11*R4*U7</f>
        <v>0</v>
      </c>
      <c r="V11" s="463">
        <f>$C$11*R4*V7</f>
        <v>0</v>
      </c>
      <c r="W11" s="463">
        <f>$C$11*R4*W7</f>
        <v>0</v>
      </c>
      <c r="X11" s="463">
        <f>$C$11*R4*X7</f>
        <v>0</v>
      </c>
      <c r="Y11" s="463">
        <f>$C$11*R4*Y7</f>
        <v>0</v>
      </c>
      <c r="Z11" s="463">
        <f>$C$11*R4*Z7</f>
        <v>0</v>
      </c>
      <c r="AA11" s="463">
        <f>$C$11*R4*AA7</f>
        <v>0</v>
      </c>
      <c r="AB11" s="463">
        <f>$C$11*R4*AB7</f>
        <v>0</v>
      </c>
    </row>
    <row r="12" spans="1:28" ht="15" customHeight="1">
      <c r="B12" s="461" t="s">
        <v>636</v>
      </c>
      <c r="C12" s="462">
        <v>0</v>
      </c>
      <c r="D12" s="452"/>
      <c r="E12" s="463"/>
      <c r="F12" s="463">
        <f t="shared" ref="F12:P12" si="3">$C$12*$C$9*F7</f>
        <v>0</v>
      </c>
      <c r="G12" s="463">
        <f t="shared" si="3"/>
        <v>0</v>
      </c>
      <c r="H12" s="463">
        <f t="shared" si="3"/>
        <v>0</v>
      </c>
      <c r="I12" s="463">
        <f t="shared" si="3"/>
        <v>0</v>
      </c>
      <c r="J12" s="463">
        <f t="shared" si="3"/>
        <v>0</v>
      </c>
      <c r="K12" s="463">
        <f t="shared" si="3"/>
        <v>0</v>
      </c>
      <c r="L12" s="463">
        <f t="shared" si="3"/>
        <v>0</v>
      </c>
      <c r="M12" s="463">
        <f t="shared" si="3"/>
        <v>0</v>
      </c>
      <c r="N12" s="463">
        <f t="shared" si="3"/>
        <v>0</v>
      </c>
      <c r="O12" s="463">
        <f t="shared" si="3"/>
        <v>0</v>
      </c>
      <c r="P12" s="463">
        <f t="shared" si="3"/>
        <v>0</v>
      </c>
      <c r="Q12" s="463">
        <f>$C$12*R4*Q7</f>
        <v>0</v>
      </c>
      <c r="R12" s="463">
        <f>$C$12*R4*R7</f>
        <v>0</v>
      </c>
      <c r="S12" s="463">
        <f>$C$12*R4*S7</f>
        <v>0</v>
      </c>
      <c r="T12" s="463">
        <f>$C$12*R4*T7</f>
        <v>0</v>
      </c>
      <c r="U12" s="463">
        <f>$C$12*R4*U7</f>
        <v>0</v>
      </c>
      <c r="V12" s="463">
        <f>$C$12*R4*V7</f>
        <v>0</v>
      </c>
      <c r="W12" s="463">
        <f>$C$12*R4*W7</f>
        <v>0</v>
      </c>
      <c r="X12" s="463">
        <f>$C$12*R4*X7</f>
        <v>0</v>
      </c>
      <c r="Y12" s="463">
        <f>$C$12*R4*Y7</f>
        <v>0</v>
      </c>
      <c r="Z12" s="463">
        <f>$C$12*R4*Z7</f>
        <v>0</v>
      </c>
      <c r="AA12" s="463">
        <f>$C$12*R4*AA7</f>
        <v>0</v>
      </c>
      <c r="AB12" s="463">
        <f>$C$12*R4*AB7</f>
        <v>0</v>
      </c>
    </row>
    <row r="13" spans="1:28" ht="15" customHeight="1">
      <c r="B13" s="461" t="s">
        <v>962</v>
      </c>
      <c r="C13" s="462">
        <v>1</v>
      </c>
      <c r="D13" s="452"/>
      <c r="E13" s="463"/>
      <c r="F13" s="463"/>
      <c r="G13" s="463">
        <f t="shared" ref="G13:P13" si="4">$C13*$C$9*G7</f>
        <v>1620000</v>
      </c>
      <c r="H13" s="463">
        <f t="shared" si="4"/>
        <v>1620000</v>
      </c>
      <c r="I13" s="463">
        <f t="shared" si="4"/>
        <v>1620000</v>
      </c>
      <c r="J13" s="463">
        <f t="shared" si="4"/>
        <v>1620000</v>
      </c>
      <c r="K13" s="463">
        <f t="shared" si="4"/>
        <v>1620000</v>
      </c>
      <c r="L13" s="463">
        <f t="shared" si="4"/>
        <v>1620000</v>
      </c>
      <c r="M13" s="463">
        <f t="shared" si="4"/>
        <v>1620000</v>
      </c>
      <c r="N13" s="463">
        <f t="shared" si="4"/>
        <v>1620000</v>
      </c>
      <c r="O13" s="463">
        <f t="shared" si="4"/>
        <v>1620000</v>
      </c>
      <c r="P13" s="463">
        <f t="shared" si="4"/>
        <v>1620000</v>
      </c>
      <c r="Q13" s="463">
        <f>$C13*R4*Q7</f>
        <v>16200000</v>
      </c>
      <c r="R13" s="463">
        <f>$C13*R4*R7</f>
        <v>16200000</v>
      </c>
      <c r="S13" s="463">
        <f>$C13*R4*S7</f>
        <v>16200000</v>
      </c>
      <c r="T13" s="463">
        <f>$C13*R4*T7</f>
        <v>16200000</v>
      </c>
      <c r="U13" s="463">
        <f>$C13*R4*U7</f>
        <v>16200000</v>
      </c>
      <c r="V13" s="463">
        <f>$C13*R4*V7</f>
        <v>16200000</v>
      </c>
      <c r="W13" s="463">
        <f>$C13*R4*W7</f>
        <v>16200000</v>
      </c>
      <c r="X13" s="463">
        <f>$C13*R4*X7</f>
        <v>16200000</v>
      </c>
      <c r="Y13" s="463">
        <f>$C13*R4*Y7</f>
        <v>16200000</v>
      </c>
      <c r="Z13" s="463">
        <f>$C13*R4*Z7</f>
        <v>16200000</v>
      </c>
      <c r="AA13" s="463">
        <f>$C13*R4*AA7</f>
        <v>16200000</v>
      </c>
      <c r="AB13" s="463">
        <f>$C13*R4*AB7</f>
        <v>16200000</v>
      </c>
    </row>
    <row r="14" spans="1:28" ht="15" customHeight="1">
      <c r="B14" s="461" t="s">
        <v>963</v>
      </c>
      <c r="C14" s="462">
        <v>1</v>
      </c>
      <c r="D14" s="452"/>
      <c r="E14" s="463"/>
      <c r="F14" s="463"/>
      <c r="G14" s="463">
        <f>$C14*$C$9*G8</f>
        <v>1080000</v>
      </c>
      <c r="H14" s="463">
        <f t="shared" ref="H14:AB14" si="5">$C14*$C$9*H8</f>
        <v>1080000</v>
      </c>
      <c r="I14" s="463">
        <f t="shared" si="5"/>
        <v>1080000</v>
      </c>
      <c r="J14" s="463">
        <f t="shared" si="5"/>
        <v>1080000</v>
      </c>
      <c r="K14" s="463">
        <f t="shared" si="5"/>
        <v>1080000</v>
      </c>
      <c r="L14" s="463">
        <f t="shared" si="5"/>
        <v>1080000</v>
      </c>
      <c r="M14" s="463">
        <f t="shared" si="5"/>
        <v>1080000</v>
      </c>
      <c r="N14" s="463">
        <f t="shared" si="5"/>
        <v>1080000</v>
      </c>
      <c r="O14" s="463">
        <f t="shared" si="5"/>
        <v>1080000</v>
      </c>
      <c r="P14" s="463">
        <f t="shared" si="5"/>
        <v>1080000</v>
      </c>
      <c r="Q14" s="463">
        <f t="shared" si="5"/>
        <v>1080000</v>
      </c>
      <c r="R14" s="463">
        <f t="shared" si="5"/>
        <v>1080000</v>
      </c>
      <c r="S14" s="463">
        <f t="shared" si="5"/>
        <v>1080000</v>
      </c>
      <c r="T14" s="463">
        <f t="shared" si="5"/>
        <v>1080000</v>
      </c>
      <c r="U14" s="463">
        <f t="shared" si="5"/>
        <v>1080000</v>
      </c>
      <c r="V14" s="463">
        <f t="shared" si="5"/>
        <v>1080000</v>
      </c>
      <c r="W14" s="463">
        <f t="shared" si="5"/>
        <v>1080000</v>
      </c>
      <c r="X14" s="463">
        <f t="shared" si="5"/>
        <v>1080000</v>
      </c>
      <c r="Y14" s="463">
        <f t="shared" si="5"/>
        <v>1080000</v>
      </c>
      <c r="Z14" s="463">
        <f t="shared" si="5"/>
        <v>1080000</v>
      </c>
      <c r="AA14" s="463">
        <f t="shared" si="5"/>
        <v>1080000</v>
      </c>
      <c r="AB14" s="463">
        <f t="shared" si="5"/>
        <v>1080000</v>
      </c>
    </row>
    <row r="15" spans="1:28" ht="15" customHeight="1">
      <c r="B15" s="464" t="s">
        <v>638</v>
      </c>
      <c r="C15" s="465">
        <v>0</v>
      </c>
      <c r="D15" s="466"/>
      <c r="E15" s="467"/>
      <c r="F15" s="467"/>
      <c r="G15" s="467"/>
      <c r="H15" s="467">
        <f t="shared" ref="H15:P15" si="6">$C$15*$C$9*H7</f>
        <v>0</v>
      </c>
      <c r="I15" s="467">
        <f t="shared" si="6"/>
        <v>0</v>
      </c>
      <c r="J15" s="467">
        <f t="shared" si="6"/>
        <v>0</v>
      </c>
      <c r="K15" s="467">
        <f t="shared" si="6"/>
        <v>0</v>
      </c>
      <c r="L15" s="467">
        <f t="shared" si="6"/>
        <v>0</v>
      </c>
      <c r="M15" s="467">
        <f t="shared" si="6"/>
        <v>0</v>
      </c>
      <c r="N15" s="467">
        <f t="shared" si="6"/>
        <v>0</v>
      </c>
      <c r="O15" s="467">
        <f t="shared" si="6"/>
        <v>0</v>
      </c>
      <c r="P15" s="467">
        <f t="shared" si="6"/>
        <v>0</v>
      </c>
      <c r="Q15" s="467">
        <f>$C$15*R4*Q7</f>
        <v>0</v>
      </c>
      <c r="R15" s="467">
        <f>$C$15*R4*R7</f>
        <v>0</v>
      </c>
      <c r="S15" s="467">
        <f>$C$15*R4*S7</f>
        <v>0</v>
      </c>
      <c r="T15" s="467">
        <f>$C$15*R4*T7</f>
        <v>0</v>
      </c>
      <c r="U15" s="467">
        <f>$C$15*R4*U7</f>
        <v>0</v>
      </c>
      <c r="V15" s="467">
        <f>$C$15*R4*V7</f>
        <v>0</v>
      </c>
      <c r="W15" s="467">
        <f>$C$15*R4*W7</f>
        <v>0</v>
      </c>
      <c r="X15" s="467">
        <f>$C$15*R4*X7</f>
        <v>0</v>
      </c>
      <c r="Y15" s="467">
        <f>$C$15*R4*Y7</f>
        <v>0</v>
      </c>
      <c r="Z15" s="467">
        <f>$C$15*R4*Z7</f>
        <v>0</v>
      </c>
      <c r="AA15" s="467">
        <f>$C$15*R4*AA7</f>
        <v>0</v>
      </c>
      <c r="AB15" s="467">
        <f>$C$15*R4*AB7</f>
        <v>0</v>
      </c>
    </row>
    <row r="16" spans="1:28" ht="15" customHeight="1">
      <c r="B16" s="461"/>
      <c r="C16" s="468">
        <f>SUM(C11:C15)</f>
        <v>2</v>
      </c>
      <c r="D16" s="452"/>
      <c r="E16" s="463">
        <f t="shared" ref="E16:AB16" si="7">SUM(E11:E15)</f>
        <v>0</v>
      </c>
      <c r="F16" s="463">
        <f t="shared" si="7"/>
        <v>0</v>
      </c>
      <c r="G16" s="463">
        <f t="shared" si="7"/>
        <v>2700000</v>
      </c>
      <c r="H16" s="463">
        <f t="shared" si="7"/>
        <v>2700000</v>
      </c>
      <c r="I16" s="463">
        <f t="shared" si="7"/>
        <v>2700000</v>
      </c>
      <c r="J16" s="463">
        <f t="shared" si="7"/>
        <v>2700000</v>
      </c>
      <c r="K16" s="463">
        <f t="shared" si="7"/>
        <v>2700000</v>
      </c>
      <c r="L16" s="463">
        <f t="shared" si="7"/>
        <v>2700000</v>
      </c>
      <c r="M16" s="463">
        <f t="shared" si="7"/>
        <v>2700000</v>
      </c>
      <c r="N16" s="463">
        <f t="shared" si="7"/>
        <v>2700000</v>
      </c>
      <c r="O16" s="463">
        <f t="shared" si="7"/>
        <v>2700000</v>
      </c>
      <c r="P16" s="463">
        <f t="shared" si="7"/>
        <v>2700000</v>
      </c>
      <c r="Q16" s="463">
        <f t="shared" si="7"/>
        <v>17280000</v>
      </c>
      <c r="R16" s="463">
        <f t="shared" si="7"/>
        <v>17280000</v>
      </c>
      <c r="S16" s="463">
        <f t="shared" si="7"/>
        <v>17280000</v>
      </c>
      <c r="T16" s="463">
        <f t="shared" si="7"/>
        <v>17280000</v>
      </c>
      <c r="U16" s="463">
        <f t="shared" si="7"/>
        <v>17280000</v>
      </c>
      <c r="V16" s="463">
        <f t="shared" si="7"/>
        <v>17280000</v>
      </c>
      <c r="W16" s="463">
        <f t="shared" si="7"/>
        <v>17280000</v>
      </c>
      <c r="X16" s="463">
        <f t="shared" si="7"/>
        <v>17280000</v>
      </c>
      <c r="Y16" s="463">
        <f t="shared" si="7"/>
        <v>17280000</v>
      </c>
      <c r="Z16" s="463">
        <f t="shared" si="7"/>
        <v>17280000</v>
      </c>
      <c r="AA16" s="463">
        <f t="shared" si="7"/>
        <v>17280000</v>
      </c>
      <c r="AB16" s="463">
        <f t="shared" si="7"/>
        <v>17280000</v>
      </c>
    </row>
    <row r="17" spans="2:28" ht="15" customHeight="1">
      <c r="B17" s="453" t="s">
        <v>639</v>
      </c>
      <c r="C17" s="452"/>
      <c r="D17" s="452"/>
      <c r="E17" s="452"/>
      <c r="F17" s="452"/>
      <c r="G17" s="452"/>
      <c r="H17" s="452"/>
      <c r="J17" s="469"/>
      <c r="K17" s="469"/>
      <c r="L17" s="469"/>
      <c r="M17" s="469"/>
      <c r="N17" s="469"/>
      <c r="Q17" s="452"/>
      <c r="R17" s="452"/>
      <c r="S17" s="452"/>
      <c r="T17" s="452"/>
      <c r="V17" s="469"/>
      <c r="W17" s="469"/>
      <c r="X17" s="469"/>
      <c r="Y17" s="469"/>
      <c r="Z17" s="469"/>
    </row>
    <row r="18" spans="2:28" ht="15" customHeight="1">
      <c r="B18" s="630" t="s">
        <v>640</v>
      </c>
      <c r="C18" s="470">
        <v>0</v>
      </c>
      <c r="D18" s="452"/>
      <c r="E18" s="471">
        <f>-E16*(0.65)*$C$18</f>
        <v>0</v>
      </c>
      <c r="F18" s="471">
        <f>-F16*$C$18</f>
        <v>0</v>
      </c>
      <c r="G18" s="471">
        <f t="shared" ref="G18:P18" si="8">-G16*(0.65)*$C$18</f>
        <v>0</v>
      </c>
      <c r="H18" s="471">
        <f t="shared" si="8"/>
        <v>0</v>
      </c>
      <c r="I18" s="471">
        <f t="shared" si="8"/>
        <v>0</v>
      </c>
      <c r="J18" s="471">
        <f t="shared" si="8"/>
        <v>0</v>
      </c>
      <c r="K18" s="471">
        <f t="shared" si="8"/>
        <v>0</v>
      </c>
      <c r="L18" s="471">
        <f t="shared" si="8"/>
        <v>0</v>
      </c>
      <c r="M18" s="471">
        <f t="shared" si="8"/>
        <v>0</v>
      </c>
      <c r="N18" s="471">
        <f t="shared" si="8"/>
        <v>0</v>
      </c>
      <c r="O18" s="471">
        <f t="shared" si="8"/>
        <v>0</v>
      </c>
      <c r="P18" s="471">
        <f t="shared" si="8"/>
        <v>0</v>
      </c>
      <c r="Q18" s="471">
        <f>-Q16*(0.65)*$C$18</f>
        <v>0</v>
      </c>
      <c r="R18" s="471">
        <f t="shared" ref="R18:AB18" si="9">-R16*(0.65)*$C$18</f>
        <v>0</v>
      </c>
      <c r="S18" s="471">
        <f t="shared" si="9"/>
        <v>0</v>
      </c>
      <c r="T18" s="471">
        <f t="shared" si="9"/>
        <v>0</v>
      </c>
      <c r="U18" s="471">
        <f t="shared" si="9"/>
        <v>0</v>
      </c>
      <c r="V18" s="471">
        <f t="shared" si="9"/>
        <v>0</v>
      </c>
      <c r="W18" s="471">
        <f t="shared" si="9"/>
        <v>0</v>
      </c>
      <c r="X18" s="471">
        <f t="shared" si="9"/>
        <v>0</v>
      </c>
      <c r="Y18" s="471">
        <f t="shared" si="9"/>
        <v>0</v>
      </c>
      <c r="Z18" s="471">
        <f t="shared" si="9"/>
        <v>0</v>
      </c>
      <c r="AA18" s="471">
        <f t="shared" si="9"/>
        <v>0</v>
      </c>
      <c r="AB18" s="471">
        <f t="shared" si="9"/>
        <v>0</v>
      </c>
    </row>
    <row r="19" spans="2:28" ht="15" customHeight="1">
      <c r="B19" s="629" t="s">
        <v>442</v>
      </c>
      <c r="C19" s="473">
        <v>0</v>
      </c>
      <c r="D19" s="472"/>
      <c r="E19" s="474">
        <f>-E16*(0.35)*$C$19</f>
        <v>0</v>
      </c>
      <c r="F19" s="474">
        <f>-F16*$C$19</f>
        <v>0</v>
      </c>
      <c r="G19" s="474">
        <f t="shared" ref="G19:P19" si="10">-G16*(0.35)*$C$19</f>
        <v>0</v>
      </c>
      <c r="H19" s="474">
        <f t="shared" si="10"/>
        <v>0</v>
      </c>
      <c r="I19" s="474">
        <f t="shared" si="10"/>
        <v>0</v>
      </c>
      <c r="J19" s="474">
        <f t="shared" si="10"/>
        <v>0</v>
      </c>
      <c r="K19" s="474">
        <f t="shared" si="10"/>
        <v>0</v>
      </c>
      <c r="L19" s="474">
        <f t="shared" si="10"/>
        <v>0</v>
      </c>
      <c r="M19" s="474">
        <f t="shared" si="10"/>
        <v>0</v>
      </c>
      <c r="N19" s="474">
        <f t="shared" si="10"/>
        <v>0</v>
      </c>
      <c r="O19" s="474">
        <f t="shared" si="10"/>
        <v>0</v>
      </c>
      <c r="P19" s="474">
        <f t="shared" si="10"/>
        <v>0</v>
      </c>
      <c r="Q19" s="474">
        <f>-Q16*(0.35)*$C$19</f>
        <v>0</v>
      </c>
      <c r="R19" s="474">
        <f t="shared" ref="R19:AB19" si="11">-R16*(0.35)*$C$19</f>
        <v>0</v>
      </c>
      <c r="S19" s="474">
        <f t="shared" si="11"/>
        <v>0</v>
      </c>
      <c r="T19" s="474">
        <f t="shared" si="11"/>
        <v>0</v>
      </c>
      <c r="U19" s="474">
        <f t="shared" si="11"/>
        <v>0</v>
      </c>
      <c r="V19" s="474">
        <f t="shared" si="11"/>
        <v>0</v>
      </c>
      <c r="W19" s="474">
        <f t="shared" si="11"/>
        <v>0</v>
      </c>
      <c r="X19" s="474">
        <f t="shared" si="11"/>
        <v>0</v>
      </c>
      <c r="Y19" s="474">
        <f t="shared" si="11"/>
        <v>0</v>
      </c>
      <c r="Z19" s="474">
        <f t="shared" si="11"/>
        <v>0</v>
      </c>
      <c r="AA19" s="474">
        <f t="shared" si="11"/>
        <v>0</v>
      </c>
      <c r="AB19" s="474">
        <f t="shared" si="11"/>
        <v>0</v>
      </c>
    </row>
    <row r="20" spans="2:28" ht="15" customHeight="1">
      <c r="B20" s="452"/>
      <c r="C20" s="452"/>
      <c r="D20" s="452"/>
      <c r="E20" s="463">
        <f>SUM(E16:E19)</f>
        <v>0</v>
      </c>
      <c r="F20" s="463">
        <f t="shared" ref="F20:P20" si="12">SUM(F16:F19)</f>
        <v>0</v>
      </c>
      <c r="G20" s="463">
        <f t="shared" si="12"/>
        <v>2700000</v>
      </c>
      <c r="H20" s="463">
        <f t="shared" si="12"/>
        <v>2700000</v>
      </c>
      <c r="I20" s="463">
        <f t="shared" si="12"/>
        <v>2700000</v>
      </c>
      <c r="J20" s="463">
        <f t="shared" si="12"/>
        <v>2700000</v>
      </c>
      <c r="K20" s="463">
        <f t="shared" si="12"/>
        <v>2700000</v>
      </c>
      <c r="L20" s="463">
        <f t="shared" si="12"/>
        <v>2700000</v>
      </c>
      <c r="M20" s="463">
        <f t="shared" si="12"/>
        <v>2700000</v>
      </c>
      <c r="N20" s="463">
        <f t="shared" si="12"/>
        <v>2700000</v>
      </c>
      <c r="O20" s="463">
        <f t="shared" si="12"/>
        <v>2700000</v>
      </c>
      <c r="P20" s="463">
        <f t="shared" si="12"/>
        <v>2700000</v>
      </c>
      <c r="Q20" s="463">
        <f>SUM(Q16:Q19)</f>
        <v>17280000</v>
      </c>
      <c r="R20" s="463">
        <f t="shared" ref="R20:AB20" si="13">SUM(R16:R19)</f>
        <v>17280000</v>
      </c>
      <c r="S20" s="463">
        <f t="shared" si="13"/>
        <v>17280000</v>
      </c>
      <c r="T20" s="463">
        <f t="shared" si="13"/>
        <v>17280000</v>
      </c>
      <c r="U20" s="463">
        <f t="shared" si="13"/>
        <v>17280000</v>
      </c>
      <c r="V20" s="463">
        <f t="shared" si="13"/>
        <v>17280000</v>
      </c>
      <c r="W20" s="463">
        <f t="shared" si="13"/>
        <v>17280000</v>
      </c>
      <c r="X20" s="463">
        <f t="shared" si="13"/>
        <v>17280000</v>
      </c>
      <c r="Y20" s="463">
        <f t="shared" si="13"/>
        <v>17280000</v>
      </c>
      <c r="Z20" s="463">
        <f t="shared" si="13"/>
        <v>17280000</v>
      </c>
      <c r="AA20" s="463">
        <f t="shared" si="13"/>
        <v>17280000</v>
      </c>
      <c r="AB20" s="463">
        <f t="shared" si="13"/>
        <v>17280000</v>
      </c>
    </row>
    <row r="21" spans="2:28" ht="15" customHeight="1">
      <c r="B21" s="452"/>
      <c r="C21" s="452"/>
      <c r="D21" s="452"/>
      <c r="E21" s="452"/>
      <c r="F21" s="452"/>
      <c r="G21" s="452"/>
      <c r="H21" s="452"/>
      <c r="J21" s="469"/>
      <c r="K21" s="469"/>
      <c r="L21" s="469"/>
      <c r="M21" s="469"/>
      <c r="N21" s="469"/>
      <c r="Q21" s="452"/>
      <c r="R21" s="452"/>
      <c r="S21" s="452"/>
      <c r="T21" s="452"/>
      <c r="V21" s="469"/>
      <c r="W21" s="469"/>
      <c r="X21" s="469"/>
      <c r="Y21" s="469"/>
      <c r="Z21" s="469"/>
    </row>
    <row r="22" spans="2:28" ht="15" customHeight="1">
      <c r="B22" s="452"/>
      <c r="C22" s="452"/>
      <c r="D22" s="452"/>
      <c r="E22" s="1727" t="s">
        <v>451</v>
      </c>
      <c r="F22" s="1727"/>
      <c r="G22" s="1727"/>
      <c r="H22" s="1727"/>
      <c r="I22" s="1727"/>
      <c r="J22" s="1727"/>
      <c r="K22" s="1727"/>
      <c r="L22" s="1727"/>
      <c r="M22" s="1727"/>
      <c r="N22" s="1727"/>
      <c r="O22" s="1727"/>
      <c r="P22" s="1727"/>
      <c r="Q22" s="1727" t="s">
        <v>632</v>
      </c>
      <c r="R22" s="1727"/>
      <c r="S22" s="1727"/>
      <c r="T22" s="1727"/>
      <c r="U22" s="1727"/>
      <c r="V22" s="1727"/>
      <c r="W22" s="1727"/>
      <c r="X22" s="1727"/>
      <c r="Y22" s="1727"/>
      <c r="Z22" s="1727"/>
      <c r="AA22" s="1727"/>
      <c r="AB22" s="1727"/>
    </row>
    <row r="23" spans="2:28" ht="15" customHeight="1">
      <c r="B23" s="451" t="s">
        <v>451</v>
      </c>
      <c r="C23" s="452"/>
      <c r="D23" s="475">
        <v>0</v>
      </c>
      <c r="E23" s="475">
        <v>1</v>
      </c>
      <c r="F23" s="475">
        <v>2</v>
      </c>
      <c r="G23" s="475">
        <v>3</v>
      </c>
      <c r="H23" s="475">
        <v>4</v>
      </c>
      <c r="I23" s="475">
        <v>5</v>
      </c>
      <c r="J23" s="475">
        <v>6</v>
      </c>
      <c r="K23" s="475">
        <v>7</v>
      </c>
      <c r="L23" s="475">
        <v>8</v>
      </c>
      <c r="M23" s="475">
        <v>9</v>
      </c>
      <c r="N23" s="475">
        <v>10</v>
      </c>
      <c r="O23" s="475">
        <v>11</v>
      </c>
      <c r="P23" s="475">
        <v>12</v>
      </c>
      <c r="Q23" s="475">
        <v>13</v>
      </c>
      <c r="R23" s="475">
        <v>14</v>
      </c>
      <c r="S23" s="475">
        <v>15</v>
      </c>
      <c r="T23" s="475">
        <v>16</v>
      </c>
      <c r="U23" s="475">
        <v>17</v>
      </c>
      <c r="V23" s="475">
        <v>18</v>
      </c>
      <c r="W23" s="475">
        <v>19</v>
      </c>
      <c r="X23" s="475">
        <v>20</v>
      </c>
      <c r="Y23" s="475">
        <v>21</v>
      </c>
      <c r="Z23" s="475">
        <v>22</v>
      </c>
      <c r="AA23" s="475">
        <v>23</v>
      </c>
      <c r="AB23" s="475">
        <v>24</v>
      </c>
    </row>
    <row r="24" spans="2:28" ht="15" customHeight="1">
      <c r="B24" s="476" t="s">
        <v>641</v>
      </c>
      <c r="C24" s="452"/>
      <c r="D24" s="452"/>
      <c r="E24" s="452"/>
      <c r="F24" s="452"/>
      <c r="G24" s="452"/>
      <c r="H24" s="452"/>
      <c r="J24" s="469"/>
      <c r="K24" s="469"/>
      <c r="L24" s="469"/>
      <c r="M24" s="469"/>
      <c r="N24" s="469"/>
      <c r="Q24" s="452"/>
      <c r="R24" s="452"/>
      <c r="S24" s="452"/>
      <c r="T24" s="452"/>
      <c r="V24" s="469"/>
      <c r="W24" s="469"/>
      <c r="X24" s="469"/>
      <c r="Y24" s="469"/>
      <c r="Z24" s="469"/>
    </row>
    <row r="25" spans="2:28" ht="15" customHeight="1">
      <c r="B25" s="452" t="s">
        <v>184</v>
      </c>
      <c r="C25" s="452"/>
      <c r="D25" s="452"/>
      <c r="E25" s="463">
        <f>E20*0.98</f>
        <v>0</v>
      </c>
      <c r="F25" s="463">
        <f t="shared" ref="F25:AB25" si="14">F20*0.98</f>
        <v>0</v>
      </c>
      <c r="G25" s="463">
        <f t="shared" si="14"/>
        <v>2646000</v>
      </c>
      <c r="H25" s="463">
        <f t="shared" si="14"/>
        <v>2646000</v>
      </c>
      <c r="I25" s="463">
        <f t="shared" si="14"/>
        <v>2646000</v>
      </c>
      <c r="J25" s="463">
        <f t="shared" si="14"/>
        <v>2646000</v>
      </c>
      <c r="K25" s="463">
        <f t="shared" si="14"/>
        <v>2646000</v>
      </c>
      <c r="L25" s="463">
        <f t="shared" si="14"/>
        <v>2646000</v>
      </c>
      <c r="M25" s="463">
        <f t="shared" si="14"/>
        <v>2646000</v>
      </c>
      <c r="N25" s="463">
        <f t="shared" si="14"/>
        <v>2646000</v>
      </c>
      <c r="O25" s="463">
        <f t="shared" si="14"/>
        <v>2646000</v>
      </c>
      <c r="P25" s="463">
        <f t="shared" si="14"/>
        <v>2646000</v>
      </c>
      <c r="Q25" s="463">
        <f t="shared" si="14"/>
        <v>16934400</v>
      </c>
      <c r="R25" s="463">
        <f t="shared" si="14"/>
        <v>16934400</v>
      </c>
      <c r="S25" s="463">
        <f t="shared" si="14"/>
        <v>16934400</v>
      </c>
      <c r="T25" s="463">
        <f t="shared" si="14"/>
        <v>16934400</v>
      </c>
      <c r="U25" s="463">
        <f t="shared" si="14"/>
        <v>16934400</v>
      </c>
      <c r="V25" s="463">
        <f t="shared" si="14"/>
        <v>16934400</v>
      </c>
      <c r="W25" s="463">
        <f t="shared" si="14"/>
        <v>16934400</v>
      </c>
      <c r="X25" s="463">
        <f t="shared" si="14"/>
        <v>16934400</v>
      </c>
      <c r="Y25" s="463">
        <f t="shared" si="14"/>
        <v>16934400</v>
      </c>
      <c r="Z25" s="463">
        <f t="shared" si="14"/>
        <v>16934400</v>
      </c>
      <c r="AA25" s="463">
        <f t="shared" si="14"/>
        <v>16934400</v>
      </c>
      <c r="AB25" s="463">
        <f t="shared" si="14"/>
        <v>16934400</v>
      </c>
    </row>
    <row r="26" spans="2:28" ht="15" customHeight="1">
      <c r="B26" s="452"/>
      <c r="C26" s="452"/>
      <c r="D26" s="452"/>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row>
    <row r="27" spans="2:28" s="479" customFormat="1" ht="15" customHeight="1">
      <c r="B27" s="458" t="s">
        <v>642</v>
      </c>
      <c r="C27" s="625">
        <v>1800</v>
      </c>
      <c r="D27" s="478"/>
      <c r="E27" s="478">
        <f>$C$27/12</f>
        <v>150</v>
      </c>
      <c r="F27" s="478">
        <f t="shared" ref="F27:AB27" si="15">$C$27/12</f>
        <v>150</v>
      </c>
      <c r="G27" s="478">
        <f t="shared" si="15"/>
        <v>150</v>
      </c>
      <c r="H27" s="478">
        <f t="shared" si="15"/>
        <v>150</v>
      </c>
      <c r="I27" s="478">
        <f t="shared" si="15"/>
        <v>150</v>
      </c>
      <c r="J27" s="478">
        <f t="shared" si="15"/>
        <v>150</v>
      </c>
      <c r="K27" s="478">
        <f t="shared" si="15"/>
        <v>150</v>
      </c>
      <c r="L27" s="478">
        <f t="shared" si="15"/>
        <v>150</v>
      </c>
      <c r="M27" s="478">
        <f t="shared" si="15"/>
        <v>150</v>
      </c>
      <c r="N27" s="478">
        <f t="shared" si="15"/>
        <v>150</v>
      </c>
      <c r="O27" s="478">
        <f t="shared" si="15"/>
        <v>150</v>
      </c>
      <c r="P27" s="478">
        <f t="shared" si="15"/>
        <v>150</v>
      </c>
      <c r="Q27" s="478">
        <f>$C$27/12</f>
        <v>150</v>
      </c>
      <c r="R27" s="478">
        <f t="shared" si="15"/>
        <v>150</v>
      </c>
      <c r="S27" s="478">
        <f t="shared" si="15"/>
        <v>150</v>
      </c>
      <c r="T27" s="478">
        <f t="shared" si="15"/>
        <v>150</v>
      </c>
      <c r="U27" s="478">
        <f t="shared" si="15"/>
        <v>150</v>
      </c>
      <c r="V27" s="478">
        <f t="shared" si="15"/>
        <v>150</v>
      </c>
      <c r="W27" s="478">
        <f t="shared" si="15"/>
        <v>150</v>
      </c>
      <c r="X27" s="478">
        <f t="shared" si="15"/>
        <v>150</v>
      </c>
      <c r="Y27" s="478">
        <f t="shared" si="15"/>
        <v>150</v>
      </c>
      <c r="Z27" s="478">
        <f t="shared" si="15"/>
        <v>150</v>
      </c>
      <c r="AA27" s="478">
        <f t="shared" si="15"/>
        <v>150</v>
      </c>
      <c r="AB27" s="478">
        <f t="shared" si="15"/>
        <v>150</v>
      </c>
    </row>
    <row r="28" spans="2:28" ht="15" customHeight="1">
      <c r="B28" s="476" t="s">
        <v>643</v>
      </c>
      <c r="C28" s="452"/>
      <c r="D28" s="452"/>
      <c r="E28" s="452"/>
      <c r="F28" s="452"/>
      <c r="G28" s="452"/>
      <c r="H28" s="452"/>
      <c r="J28" s="469"/>
      <c r="K28" s="469"/>
      <c r="L28" s="469"/>
      <c r="M28" s="469"/>
      <c r="N28" s="469"/>
      <c r="Q28" s="452"/>
      <c r="R28" s="452"/>
      <c r="S28" s="452"/>
      <c r="T28" s="452"/>
      <c r="V28" s="469"/>
      <c r="W28" s="469"/>
      <c r="X28" s="469"/>
      <c r="Y28" s="469"/>
      <c r="Z28" s="469"/>
    </row>
    <row r="29" spans="2:28" ht="15" customHeight="1">
      <c r="B29" s="480" t="s">
        <v>644</v>
      </c>
      <c r="C29" s="452"/>
      <c r="D29" s="452"/>
      <c r="E29" s="452"/>
      <c r="F29" s="452"/>
      <c r="G29" s="452"/>
      <c r="H29" s="452"/>
      <c r="J29" s="469"/>
      <c r="K29" s="469"/>
      <c r="L29" s="469"/>
      <c r="M29" s="469"/>
      <c r="N29" s="469"/>
      <c r="Q29" s="452"/>
      <c r="R29" s="452"/>
      <c r="S29" s="452"/>
      <c r="T29" s="452"/>
      <c r="V29" s="469"/>
      <c r="W29" s="469"/>
      <c r="X29" s="469"/>
      <c r="Y29" s="469"/>
      <c r="Z29" s="469"/>
    </row>
    <row r="30" spans="2:28">
      <c r="B30" s="452" t="s">
        <v>598</v>
      </c>
      <c r="C30" s="450"/>
      <c r="D30" s="452"/>
      <c r="E30" s="471">
        <f>-$C30*$E$27</f>
        <v>0</v>
      </c>
      <c r="F30" s="471">
        <f t="shared" ref="F30:P30" si="16">-$C30*F27</f>
        <v>0</v>
      </c>
      <c r="G30" s="471">
        <f t="shared" si="16"/>
        <v>0</v>
      </c>
      <c r="H30" s="471">
        <f t="shared" si="16"/>
        <v>0</v>
      </c>
      <c r="I30" s="471">
        <f t="shared" si="16"/>
        <v>0</v>
      </c>
      <c r="J30" s="471">
        <f t="shared" si="16"/>
        <v>0</v>
      </c>
      <c r="K30" s="471">
        <f t="shared" si="16"/>
        <v>0</v>
      </c>
      <c r="L30" s="471">
        <f t="shared" si="16"/>
        <v>0</v>
      </c>
      <c r="M30" s="471">
        <f t="shared" si="16"/>
        <v>0</v>
      </c>
      <c r="N30" s="471">
        <f t="shared" si="16"/>
        <v>0</v>
      </c>
      <c r="O30" s="471">
        <f t="shared" si="16"/>
        <v>0</v>
      </c>
      <c r="P30" s="471">
        <f t="shared" si="16"/>
        <v>0</v>
      </c>
      <c r="Q30" s="471">
        <f>-$C30*Q27</f>
        <v>0</v>
      </c>
      <c r="R30" s="471">
        <f t="shared" ref="R30:AB30" si="17">-$C30*R27</f>
        <v>0</v>
      </c>
      <c r="S30" s="471">
        <f t="shared" si="17"/>
        <v>0</v>
      </c>
      <c r="T30" s="471">
        <f t="shared" si="17"/>
        <v>0</v>
      </c>
      <c r="U30" s="471">
        <f t="shared" si="17"/>
        <v>0</v>
      </c>
      <c r="V30" s="471">
        <f t="shared" si="17"/>
        <v>0</v>
      </c>
      <c r="W30" s="471">
        <f t="shared" si="17"/>
        <v>0</v>
      </c>
      <c r="X30" s="471">
        <f t="shared" si="17"/>
        <v>0</v>
      </c>
      <c r="Y30" s="471">
        <f t="shared" si="17"/>
        <v>0</v>
      </c>
      <c r="Z30" s="471">
        <f t="shared" si="17"/>
        <v>0</v>
      </c>
      <c r="AA30" s="471">
        <f t="shared" si="17"/>
        <v>0</v>
      </c>
      <c r="AB30" s="471">
        <f t="shared" si="17"/>
        <v>0</v>
      </c>
    </row>
    <row r="31" spans="2:28">
      <c r="B31" s="452" t="s">
        <v>645</v>
      </c>
      <c r="C31" s="450"/>
      <c r="D31" s="452"/>
      <c r="E31" s="471">
        <f>-$C31*$E$27</f>
        <v>0</v>
      </c>
      <c r="F31" s="471">
        <f t="shared" ref="F31:P31" si="18">-$C31*F27</f>
        <v>0</v>
      </c>
      <c r="G31" s="471">
        <f t="shared" si="18"/>
        <v>0</v>
      </c>
      <c r="H31" s="471">
        <f t="shared" si="18"/>
        <v>0</v>
      </c>
      <c r="I31" s="471">
        <f t="shared" si="18"/>
        <v>0</v>
      </c>
      <c r="J31" s="471">
        <f t="shared" si="18"/>
        <v>0</v>
      </c>
      <c r="K31" s="471">
        <f t="shared" si="18"/>
        <v>0</v>
      </c>
      <c r="L31" s="471">
        <f t="shared" si="18"/>
        <v>0</v>
      </c>
      <c r="M31" s="471">
        <f t="shared" si="18"/>
        <v>0</v>
      </c>
      <c r="N31" s="471">
        <f t="shared" si="18"/>
        <v>0</v>
      </c>
      <c r="O31" s="471">
        <f t="shared" si="18"/>
        <v>0</v>
      </c>
      <c r="P31" s="471">
        <f t="shared" si="18"/>
        <v>0</v>
      </c>
      <c r="Q31" s="471">
        <f>-$C31*Q27</f>
        <v>0</v>
      </c>
      <c r="R31" s="471">
        <f t="shared" ref="R31:AB31" si="19">-$C31*R27</f>
        <v>0</v>
      </c>
      <c r="S31" s="471">
        <f t="shared" si="19"/>
        <v>0</v>
      </c>
      <c r="T31" s="471">
        <f t="shared" si="19"/>
        <v>0</v>
      </c>
      <c r="U31" s="471">
        <f t="shared" si="19"/>
        <v>0</v>
      </c>
      <c r="V31" s="471">
        <f t="shared" si="19"/>
        <v>0</v>
      </c>
      <c r="W31" s="471">
        <f t="shared" si="19"/>
        <v>0</v>
      </c>
      <c r="X31" s="471">
        <f t="shared" si="19"/>
        <v>0</v>
      </c>
      <c r="Y31" s="471">
        <f t="shared" si="19"/>
        <v>0</v>
      </c>
      <c r="Z31" s="471">
        <f t="shared" si="19"/>
        <v>0</v>
      </c>
      <c r="AA31" s="471">
        <f t="shared" si="19"/>
        <v>0</v>
      </c>
      <c r="AB31" s="471">
        <f t="shared" si="19"/>
        <v>0</v>
      </c>
    </row>
    <row r="32" spans="2:28">
      <c r="B32" s="452" t="s">
        <v>600</v>
      </c>
      <c r="C32" s="450"/>
      <c r="D32" s="452"/>
      <c r="E32" s="471">
        <f>-$C32*$E$27</f>
        <v>0</v>
      </c>
      <c r="F32" s="471">
        <f t="shared" ref="F32:P32" si="20">-$C32*F27</f>
        <v>0</v>
      </c>
      <c r="G32" s="471">
        <f t="shared" si="20"/>
        <v>0</v>
      </c>
      <c r="H32" s="471">
        <f t="shared" si="20"/>
        <v>0</v>
      </c>
      <c r="I32" s="471">
        <f t="shared" si="20"/>
        <v>0</v>
      </c>
      <c r="J32" s="471">
        <f t="shared" si="20"/>
        <v>0</v>
      </c>
      <c r="K32" s="471">
        <f t="shared" si="20"/>
        <v>0</v>
      </c>
      <c r="L32" s="471">
        <f t="shared" si="20"/>
        <v>0</v>
      </c>
      <c r="M32" s="471">
        <f t="shared" si="20"/>
        <v>0</v>
      </c>
      <c r="N32" s="471">
        <f t="shared" si="20"/>
        <v>0</v>
      </c>
      <c r="O32" s="471">
        <f t="shared" si="20"/>
        <v>0</v>
      </c>
      <c r="P32" s="471">
        <f t="shared" si="20"/>
        <v>0</v>
      </c>
      <c r="Q32" s="471">
        <f>-$C32*Q27</f>
        <v>0</v>
      </c>
      <c r="R32" s="471">
        <f t="shared" ref="R32:AB32" si="21">-$C32*R27</f>
        <v>0</v>
      </c>
      <c r="S32" s="471">
        <f t="shared" si="21"/>
        <v>0</v>
      </c>
      <c r="T32" s="471">
        <f t="shared" si="21"/>
        <v>0</v>
      </c>
      <c r="U32" s="471">
        <f t="shared" si="21"/>
        <v>0</v>
      </c>
      <c r="V32" s="471">
        <f t="shared" si="21"/>
        <v>0</v>
      </c>
      <c r="W32" s="471">
        <f t="shared" si="21"/>
        <v>0</v>
      </c>
      <c r="X32" s="471">
        <f t="shared" si="21"/>
        <v>0</v>
      </c>
      <c r="Y32" s="471">
        <f t="shared" si="21"/>
        <v>0</v>
      </c>
      <c r="Z32" s="471">
        <f t="shared" si="21"/>
        <v>0</v>
      </c>
      <c r="AA32" s="471">
        <f t="shared" si="21"/>
        <v>0</v>
      </c>
      <c r="AB32" s="471">
        <f t="shared" si="21"/>
        <v>0</v>
      </c>
    </row>
    <row r="33" spans="2:28">
      <c r="B33" s="452" t="s">
        <v>181</v>
      </c>
      <c r="C33" s="450"/>
      <c r="D33" s="452"/>
      <c r="E33" s="471">
        <f>-$C33*$E$27</f>
        <v>0</v>
      </c>
      <c r="F33" s="471">
        <f t="shared" ref="F33:T33" si="22">-$C33*$E$27</f>
        <v>0</v>
      </c>
      <c r="G33" s="471">
        <f t="shared" si="22"/>
        <v>0</v>
      </c>
      <c r="H33" s="471">
        <f t="shared" si="22"/>
        <v>0</v>
      </c>
      <c r="I33" s="471">
        <f t="shared" si="22"/>
        <v>0</v>
      </c>
      <c r="J33" s="471">
        <f t="shared" si="22"/>
        <v>0</v>
      </c>
      <c r="K33" s="471">
        <f t="shared" si="22"/>
        <v>0</v>
      </c>
      <c r="L33" s="471">
        <f t="shared" si="22"/>
        <v>0</v>
      </c>
      <c r="M33" s="471">
        <f t="shared" si="22"/>
        <v>0</v>
      </c>
      <c r="N33" s="471">
        <f t="shared" si="22"/>
        <v>0</v>
      </c>
      <c r="O33" s="471">
        <f t="shared" si="22"/>
        <v>0</v>
      </c>
      <c r="P33" s="471">
        <f t="shared" si="22"/>
        <v>0</v>
      </c>
      <c r="Q33" s="471">
        <f t="shared" si="22"/>
        <v>0</v>
      </c>
      <c r="R33" s="471">
        <f t="shared" si="22"/>
        <v>0</v>
      </c>
      <c r="S33" s="471">
        <f t="shared" si="22"/>
        <v>0</v>
      </c>
      <c r="T33" s="471">
        <f t="shared" si="22"/>
        <v>0</v>
      </c>
      <c r="U33" s="471">
        <f t="shared" ref="U33:AB33" si="23">-$C33*$E$27</f>
        <v>0</v>
      </c>
      <c r="V33" s="471">
        <f t="shared" si="23"/>
        <v>0</v>
      </c>
      <c r="W33" s="471">
        <f t="shared" si="23"/>
        <v>0</v>
      </c>
      <c r="X33" s="471">
        <f t="shared" si="23"/>
        <v>0</v>
      </c>
      <c r="Y33" s="471">
        <f t="shared" si="23"/>
        <v>0</v>
      </c>
      <c r="Z33" s="471">
        <f t="shared" si="23"/>
        <v>0</v>
      </c>
      <c r="AA33" s="471">
        <f t="shared" si="23"/>
        <v>0</v>
      </c>
      <c r="AB33" s="471">
        <f t="shared" si="23"/>
        <v>0</v>
      </c>
    </row>
    <row r="34" spans="2:28">
      <c r="B34" s="452"/>
      <c r="C34" s="452"/>
      <c r="D34" s="452"/>
      <c r="E34" s="452"/>
      <c r="F34" s="452"/>
      <c r="G34" s="452"/>
      <c r="H34" s="452"/>
      <c r="Q34" s="452"/>
      <c r="R34" s="452"/>
      <c r="S34" s="452"/>
      <c r="T34" s="452"/>
    </row>
    <row r="35" spans="2:28">
      <c r="B35" s="480" t="s">
        <v>646</v>
      </c>
      <c r="C35" s="452"/>
      <c r="D35" s="452"/>
      <c r="E35" s="452"/>
      <c r="F35" s="452"/>
      <c r="G35" s="452"/>
      <c r="H35" s="452"/>
      <c r="Q35" s="452"/>
      <c r="R35" s="452"/>
      <c r="S35" s="452"/>
      <c r="T35" s="452"/>
    </row>
    <row r="36" spans="2:28">
      <c r="B36" s="452" t="s">
        <v>647</v>
      </c>
      <c r="C36" s="450">
        <v>0</v>
      </c>
      <c r="D36" s="452"/>
      <c r="E36" s="471">
        <f>-$C36*E27</f>
        <v>0</v>
      </c>
      <c r="F36" s="471">
        <f t="shared" ref="F36:P36" si="24">-$C36*F27</f>
        <v>0</v>
      </c>
      <c r="G36" s="471">
        <f t="shared" si="24"/>
        <v>0</v>
      </c>
      <c r="H36" s="471">
        <f t="shared" si="24"/>
        <v>0</v>
      </c>
      <c r="I36" s="471">
        <f t="shared" si="24"/>
        <v>0</v>
      </c>
      <c r="J36" s="471">
        <f t="shared" si="24"/>
        <v>0</v>
      </c>
      <c r="K36" s="471">
        <f t="shared" si="24"/>
        <v>0</v>
      </c>
      <c r="L36" s="471">
        <f t="shared" si="24"/>
        <v>0</v>
      </c>
      <c r="M36" s="471">
        <f t="shared" si="24"/>
        <v>0</v>
      </c>
      <c r="N36" s="471">
        <f t="shared" si="24"/>
        <v>0</v>
      </c>
      <c r="O36" s="471">
        <f t="shared" si="24"/>
        <v>0</v>
      </c>
      <c r="P36" s="471">
        <f t="shared" si="24"/>
        <v>0</v>
      </c>
      <c r="Q36" s="471">
        <f>-$C36*Q27</f>
        <v>0</v>
      </c>
      <c r="R36" s="471">
        <f t="shared" ref="R36:AB36" si="25">-$C36*R27</f>
        <v>0</v>
      </c>
      <c r="S36" s="471">
        <f t="shared" si="25"/>
        <v>0</v>
      </c>
      <c r="T36" s="471">
        <f t="shared" si="25"/>
        <v>0</v>
      </c>
      <c r="U36" s="471">
        <f t="shared" si="25"/>
        <v>0</v>
      </c>
      <c r="V36" s="471">
        <f t="shared" si="25"/>
        <v>0</v>
      </c>
      <c r="W36" s="471">
        <f t="shared" si="25"/>
        <v>0</v>
      </c>
      <c r="X36" s="471">
        <f t="shared" si="25"/>
        <v>0</v>
      </c>
      <c r="Y36" s="471">
        <f t="shared" si="25"/>
        <v>0</v>
      </c>
      <c r="Z36" s="471">
        <f t="shared" si="25"/>
        <v>0</v>
      </c>
      <c r="AA36" s="471">
        <f t="shared" si="25"/>
        <v>0</v>
      </c>
      <c r="AB36" s="471">
        <f t="shared" si="25"/>
        <v>0</v>
      </c>
    </row>
    <row r="37" spans="2:28">
      <c r="B37" s="452" t="s">
        <v>951</v>
      </c>
      <c r="C37" s="450">
        <v>252.97110000000001</v>
      </c>
      <c r="D37" s="452"/>
      <c r="E37" s="452"/>
      <c r="F37" s="471">
        <f>-$C37*F27</f>
        <v>-37945.665000000001</v>
      </c>
      <c r="G37" s="471">
        <f t="shared" ref="G37:AB37" si="26">-$C37*G27</f>
        <v>-37945.665000000001</v>
      </c>
      <c r="H37" s="471">
        <f t="shared" si="26"/>
        <v>-37945.665000000001</v>
      </c>
      <c r="I37" s="471">
        <f t="shared" si="26"/>
        <v>-37945.665000000001</v>
      </c>
      <c r="J37" s="471">
        <f t="shared" si="26"/>
        <v>-37945.665000000001</v>
      </c>
      <c r="K37" s="471">
        <f t="shared" si="26"/>
        <v>-37945.665000000001</v>
      </c>
      <c r="L37" s="471">
        <f t="shared" si="26"/>
        <v>-37945.665000000001</v>
      </c>
      <c r="M37" s="471">
        <f t="shared" si="26"/>
        <v>-37945.665000000001</v>
      </c>
      <c r="N37" s="471">
        <f t="shared" si="26"/>
        <v>-37945.665000000001</v>
      </c>
      <c r="O37" s="471">
        <f t="shared" si="26"/>
        <v>-37945.665000000001</v>
      </c>
      <c r="P37" s="471">
        <f t="shared" si="26"/>
        <v>-37945.665000000001</v>
      </c>
      <c r="Q37" s="471">
        <f t="shared" si="26"/>
        <v>-37945.665000000001</v>
      </c>
      <c r="R37" s="471">
        <f t="shared" si="26"/>
        <v>-37945.665000000001</v>
      </c>
      <c r="S37" s="471">
        <f t="shared" si="26"/>
        <v>-37945.665000000001</v>
      </c>
      <c r="T37" s="471">
        <f t="shared" si="26"/>
        <v>-37945.665000000001</v>
      </c>
      <c r="U37" s="471">
        <f t="shared" si="26"/>
        <v>-37945.665000000001</v>
      </c>
      <c r="V37" s="471">
        <f t="shared" si="26"/>
        <v>-37945.665000000001</v>
      </c>
      <c r="W37" s="471">
        <f t="shared" si="26"/>
        <v>-37945.665000000001</v>
      </c>
      <c r="X37" s="471">
        <f t="shared" si="26"/>
        <v>-37945.665000000001</v>
      </c>
      <c r="Y37" s="471">
        <f t="shared" si="26"/>
        <v>-37945.665000000001</v>
      </c>
      <c r="Z37" s="471">
        <f t="shared" si="26"/>
        <v>-37945.665000000001</v>
      </c>
      <c r="AA37" s="471">
        <f t="shared" si="26"/>
        <v>-37945.665000000001</v>
      </c>
      <c r="AB37" s="471">
        <f t="shared" si="26"/>
        <v>-37945.665000000001</v>
      </c>
    </row>
    <row r="38" spans="2:28">
      <c r="B38" s="452" t="s">
        <v>952</v>
      </c>
      <c r="C38" s="450">
        <v>40.701700000000002</v>
      </c>
      <c r="D38" s="452"/>
      <c r="E38" s="452"/>
      <c r="F38" s="471">
        <f>-$C$38*F27</f>
        <v>-6105.2550000000001</v>
      </c>
      <c r="G38" s="471">
        <f t="shared" ref="G38:AB38" si="27">-$C$38*G27</f>
        <v>-6105.2550000000001</v>
      </c>
      <c r="H38" s="471">
        <f t="shared" si="27"/>
        <v>-6105.2550000000001</v>
      </c>
      <c r="I38" s="471">
        <f t="shared" si="27"/>
        <v>-6105.2550000000001</v>
      </c>
      <c r="J38" s="471">
        <f t="shared" si="27"/>
        <v>-6105.2550000000001</v>
      </c>
      <c r="K38" s="471">
        <f t="shared" si="27"/>
        <v>-6105.2550000000001</v>
      </c>
      <c r="L38" s="471">
        <f t="shared" si="27"/>
        <v>-6105.2550000000001</v>
      </c>
      <c r="M38" s="471">
        <f t="shared" si="27"/>
        <v>-6105.2550000000001</v>
      </c>
      <c r="N38" s="471">
        <f t="shared" si="27"/>
        <v>-6105.2550000000001</v>
      </c>
      <c r="O38" s="471">
        <f t="shared" si="27"/>
        <v>-6105.2550000000001</v>
      </c>
      <c r="P38" s="471">
        <f t="shared" si="27"/>
        <v>-6105.2550000000001</v>
      </c>
      <c r="Q38" s="471">
        <f t="shared" si="27"/>
        <v>-6105.2550000000001</v>
      </c>
      <c r="R38" s="471">
        <f t="shared" si="27"/>
        <v>-6105.2550000000001</v>
      </c>
      <c r="S38" s="471">
        <f t="shared" si="27"/>
        <v>-6105.2550000000001</v>
      </c>
      <c r="T38" s="471">
        <f t="shared" si="27"/>
        <v>-6105.2550000000001</v>
      </c>
      <c r="U38" s="471">
        <f t="shared" si="27"/>
        <v>-6105.2550000000001</v>
      </c>
      <c r="V38" s="471">
        <f t="shared" si="27"/>
        <v>-6105.2550000000001</v>
      </c>
      <c r="W38" s="471">
        <f t="shared" si="27"/>
        <v>-6105.2550000000001</v>
      </c>
      <c r="X38" s="471">
        <f t="shared" si="27"/>
        <v>-6105.2550000000001</v>
      </c>
      <c r="Y38" s="471">
        <f t="shared" si="27"/>
        <v>-6105.2550000000001</v>
      </c>
      <c r="Z38" s="471">
        <f t="shared" si="27"/>
        <v>-6105.2550000000001</v>
      </c>
      <c r="AA38" s="471">
        <f t="shared" si="27"/>
        <v>-6105.2550000000001</v>
      </c>
      <c r="AB38" s="471">
        <f t="shared" si="27"/>
        <v>-6105.2550000000001</v>
      </c>
    </row>
    <row r="39" spans="2:28">
      <c r="B39" s="452" t="s">
        <v>953</v>
      </c>
      <c r="C39" s="450">
        <v>17.54</v>
      </c>
      <c r="D39" s="452"/>
      <c r="E39" s="452"/>
      <c r="F39" s="471">
        <f>-$C39*F27</f>
        <v>-2631</v>
      </c>
      <c r="G39" s="471">
        <f t="shared" ref="G39:AB39" si="28">-$C39*G27</f>
        <v>-2631</v>
      </c>
      <c r="H39" s="471">
        <f t="shared" si="28"/>
        <v>-2631</v>
      </c>
      <c r="I39" s="471">
        <f t="shared" si="28"/>
        <v>-2631</v>
      </c>
      <c r="J39" s="471">
        <f t="shared" si="28"/>
        <v>-2631</v>
      </c>
      <c r="K39" s="471">
        <f t="shared" si="28"/>
        <v>-2631</v>
      </c>
      <c r="L39" s="471">
        <f t="shared" si="28"/>
        <v>-2631</v>
      </c>
      <c r="M39" s="471">
        <f t="shared" si="28"/>
        <v>-2631</v>
      </c>
      <c r="N39" s="471">
        <f t="shared" si="28"/>
        <v>-2631</v>
      </c>
      <c r="O39" s="471">
        <f t="shared" si="28"/>
        <v>-2631</v>
      </c>
      <c r="P39" s="471">
        <f t="shared" si="28"/>
        <v>-2631</v>
      </c>
      <c r="Q39" s="471">
        <f t="shared" si="28"/>
        <v>-2631</v>
      </c>
      <c r="R39" s="471">
        <f t="shared" si="28"/>
        <v>-2631</v>
      </c>
      <c r="S39" s="471">
        <f t="shared" si="28"/>
        <v>-2631</v>
      </c>
      <c r="T39" s="471">
        <f t="shared" si="28"/>
        <v>-2631</v>
      </c>
      <c r="U39" s="471">
        <f t="shared" si="28"/>
        <v>-2631</v>
      </c>
      <c r="V39" s="471">
        <f t="shared" si="28"/>
        <v>-2631</v>
      </c>
      <c r="W39" s="471">
        <f t="shared" si="28"/>
        <v>-2631</v>
      </c>
      <c r="X39" s="471">
        <f t="shared" si="28"/>
        <v>-2631</v>
      </c>
      <c r="Y39" s="471">
        <f t="shared" si="28"/>
        <v>-2631</v>
      </c>
      <c r="Z39" s="471">
        <f t="shared" si="28"/>
        <v>-2631</v>
      </c>
      <c r="AA39" s="471">
        <f t="shared" si="28"/>
        <v>-2631</v>
      </c>
      <c r="AB39" s="471">
        <f t="shared" si="28"/>
        <v>-2631</v>
      </c>
    </row>
    <row r="40" spans="2:28">
      <c r="B40" s="452" t="s">
        <v>964</v>
      </c>
      <c r="C40" s="450">
        <v>780</v>
      </c>
      <c r="D40" s="452"/>
      <c r="E40" s="452"/>
      <c r="F40" s="471">
        <f>-$C40*F27</f>
        <v>-117000</v>
      </c>
      <c r="G40" s="471">
        <f t="shared" ref="G40:AB40" si="29">-$C40*G27</f>
        <v>-117000</v>
      </c>
      <c r="H40" s="471">
        <f t="shared" si="29"/>
        <v>-117000</v>
      </c>
      <c r="I40" s="471">
        <f t="shared" si="29"/>
        <v>-117000</v>
      </c>
      <c r="J40" s="471">
        <f t="shared" si="29"/>
        <v>-117000</v>
      </c>
      <c r="K40" s="471">
        <f t="shared" si="29"/>
        <v>-117000</v>
      </c>
      <c r="L40" s="471">
        <f t="shared" si="29"/>
        <v>-117000</v>
      </c>
      <c r="M40" s="471">
        <f t="shared" si="29"/>
        <v>-117000</v>
      </c>
      <c r="N40" s="471">
        <f t="shared" si="29"/>
        <v>-117000</v>
      </c>
      <c r="O40" s="471">
        <f t="shared" si="29"/>
        <v>-117000</v>
      </c>
      <c r="P40" s="471">
        <f t="shared" si="29"/>
        <v>-117000</v>
      </c>
      <c r="Q40" s="471">
        <f t="shared" si="29"/>
        <v>-117000</v>
      </c>
      <c r="R40" s="471">
        <f t="shared" si="29"/>
        <v>-117000</v>
      </c>
      <c r="S40" s="471">
        <f t="shared" si="29"/>
        <v>-117000</v>
      </c>
      <c r="T40" s="471">
        <f t="shared" si="29"/>
        <v>-117000</v>
      </c>
      <c r="U40" s="471">
        <f t="shared" si="29"/>
        <v>-117000</v>
      </c>
      <c r="V40" s="471">
        <f t="shared" si="29"/>
        <v>-117000</v>
      </c>
      <c r="W40" s="471">
        <f t="shared" si="29"/>
        <v>-117000</v>
      </c>
      <c r="X40" s="471">
        <f t="shared" si="29"/>
        <v>-117000</v>
      </c>
      <c r="Y40" s="471">
        <f t="shared" si="29"/>
        <v>-117000</v>
      </c>
      <c r="Z40" s="471">
        <f t="shared" si="29"/>
        <v>-117000</v>
      </c>
      <c r="AA40" s="471">
        <f t="shared" si="29"/>
        <v>-117000</v>
      </c>
      <c r="AB40" s="471">
        <f t="shared" si="29"/>
        <v>-117000</v>
      </c>
    </row>
    <row r="41" spans="2:28">
      <c r="B41" s="452" t="s">
        <v>806</v>
      </c>
      <c r="C41" s="450">
        <v>0</v>
      </c>
      <c r="D41" s="452"/>
      <c r="E41" s="452"/>
      <c r="F41" s="452"/>
      <c r="G41" s="471">
        <f>-$C41*G27</f>
        <v>0</v>
      </c>
      <c r="H41" s="471">
        <f t="shared" ref="H41:AB41" si="30">-$C41*H27</f>
        <v>0</v>
      </c>
      <c r="I41" s="471">
        <f t="shared" si="30"/>
        <v>0</v>
      </c>
      <c r="J41" s="471">
        <f t="shared" si="30"/>
        <v>0</v>
      </c>
      <c r="K41" s="471">
        <f t="shared" si="30"/>
        <v>0</v>
      </c>
      <c r="L41" s="471">
        <f t="shared" si="30"/>
        <v>0</v>
      </c>
      <c r="M41" s="471">
        <f t="shared" si="30"/>
        <v>0</v>
      </c>
      <c r="N41" s="471">
        <f t="shared" si="30"/>
        <v>0</v>
      </c>
      <c r="O41" s="471">
        <f t="shared" si="30"/>
        <v>0</v>
      </c>
      <c r="P41" s="471">
        <f t="shared" si="30"/>
        <v>0</v>
      </c>
      <c r="Q41" s="471">
        <f t="shared" si="30"/>
        <v>0</v>
      </c>
      <c r="R41" s="471">
        <f t="shared" si="30"/>
        <v>0</v>
      </c>
      <c r="S41" s="471">
        <f t="shared" si="30"/>
        <v>0</v>
      </c>
      <c r="T41" s="471">
        <f t="shared" si="30"/>
        <v>0</v>
      </c>
      <c r="U41" s="471">
        <f t="shared" si="30"/>
        <v>0</v>
      </c>
      <c r="V41" s="471">
        <f t="shared" si="30"/>
        <v>0</v>
      </c>
      <c r="W41" s="471">
        <f t="shared" si="30"/>
        <v>0</v>
      </c>
      <c r="X41" s="471">
        <f t="shared" si="30"/>
        <v>0</v>
      </c>
      <c r="Y41" s="471">
        <f t="shared" si="30"/>
        <v>0</v>
      </c>
      <c r="Z41" s="471">
        <f t="shared" si="30"/>
        <v>0</v>
      </c>
      <c r="AA41" s="471">
        <f t="shared" si="30"/>
        <v>0</v>
      </c>
      <c r="AB41" s="471">
        <f t="shared" si="30"/>
        <v>0</v>
      </c>
    </row>
    <row r="42" spans="2:28">
      <c r="B42" s="452" t="s">
        <v>650</v>
      </c>
      <c r="C42" s="450">
        <v>0</v>
      </c>
      <c r="D42" s="452"/>
      <c r="E42" s="452"/>
      <c r="F42" s="452"/>
      <c r="G42" s="452"/>
      <c r="H42" s="471">
        <f>-$C42*H27</f>
        <v>0</v>
      </c>
      <c r="I42" s="471">
        <f t="shared" ref="I42:P42" si="31">-$C42*I27</f>
        <v>0</v>
      </c>
      <c r="J42" s="471">
        <f t="shared" si="31"/>
        <v>0</v>
      </c>
      <c r="K42" s="471">
        <f t="shared" si="31"/>
        <v>0</v>
      </c>
      <c r="L42" s="471">
        <f t="shared" si="31"/>
        <v>0</v>
      </c>
      <c r="M42" s="471">
        <f t="shared" si="31"/>
        <v>0</v>
      </c>
      <c r="N42" s="471">
        <f t="shared" si="31"/>
        <v>0</v>
      </c>
      <c r="O42" s="471">
        <f t="shared" si="31"/>
        <v>0</v>
      </c>
      <c r="P42" s="471">
        <f t="shared" si="31"/>
        <v>0</v>
      </c>
      <c r="Q42" s="471">
        <f>-$C42*Q27</f>
        <v>0</v>
      </c>
      <c r="R42" s="471">
        <f>-$C42*R27</f>
        <v>0</v>
      </c>
      <c r="S42" s="471">
        <f>-$C42*S27</f>
        <v>0</v>
      </c>
      <c r="T42" s="471">
        <f>-$C42*T27</f>
        <v>0</v>
      </c>
      <c r="U42" s="471">
        <f t="shared" ref="U42:AB42" si="32">-$C42*U27</f>
        <v>0</v>
      </c>
      <c r="V42" s="471">
        <f t="shared" si="32"/>
        <v>0</v>
      </c>
      <c r="W42" s="471">
        <f t="shared" si="32"/>
        <v>0</v>
      </c>
      <c r="X42" s="471">
        <f t="shared" si="32"/>
        <v>0</v>
      </c>
      <c r="Y42" s="471">
        <f t="shared" si="32"/>
        <v>0</v>
      </c>
      <c r="Z42" s="471">
        <f t="shared" si="32"/>
        <v>0</v>
      </c>
      <c r="AA42" s="471">
        <f t="shared" si="32"/>
        <v>0</v>
      </c>
      <c r="AB42" s="471">
        <f t="shared" si="32"/>
        <v>0</v>
      </c>
    </row>
    <row r="43" spans="2:28">
      <c r="C43" s="452"/>
      <c r="D43" s="452"/>
      <c r="E43" s="452"/>
      <c r="F43" s="452"/>
      <c r="G43" s="452"/>
      <c r="H43" s="452"/>
      <c r="Q43" s="452"/>
      <c r="R43" s="452"/>
      <c r="S43" s="452"/>
      <c r="T43" s="452"/>
    </row>
    <row r="44" spans="2:28">
      <c r="B44" s="452"/>
      <c r="C44" s="452"/>
      <c r="D44" s="452"/>
      <c r="E44" s="452"/>
      <c r="F44" s="452"/>
      <c r="G44" s="452"/>
      <c r="H44" s="452"/>
      <c r="Q44" s="452"/>
      <c r="R44" s="452"/>
      <c r="S44" s="452"/>
      <c r="T44" s="452"/>
    </row>
    <row r="45" spans="2:28">
      <c r="B45" s="480" t="s">
        <v>651</v>
      </c>
      <c r="C45" s="452"/>
      <c r="D45" s="452"/>
      <c r="E45" s="452"/>
      <c r="F45" s="452"/>
      <c r="G45" s="452"/>
      <c r="H45" s="452"/>
      <c r="Q45" s="452"/>
      <c r="R45" s="452"/>
      <c r="S45" s="452"/>
      <c r="T45" s="452"/>
    </row>
    <row r="46" spans="2:28">
      <c r="B46" s="452" t="s">
        <v>652</v>
      </c>
      <c r="C46" s="450">
        <f>56000/12+80000</f>
        <v>84666.666666666672</v>
      </c>
      <c r="D46" s="452"/>
      <c r="E46" s="471">
        <f>-$C46</f>
        <v>-84666.666666666672</v>
      </c>
      <c r="F46" s="471">
        <f t="shared" ref="F46:AB46" si="33">-$C46</f>
        <v>-84666.666666666672</v>
      </c>
      <c r="G46" s="471">
        <f t="shared" si="33"/>
        <v>-84666.666666666672</v>
      </c>
      <c r="H46" s="471">
        <f t="shared" si="33"/>
        <v>-84666.666666666672</v>
      </c>
      <c r="I46" s="471">
        <f t="shared" si="33"/>
        <v>-84666.666666666672</v>
      </c>
      <c r="J46" s="471">
        <f t="shared" si="33"/>
        <v>-84666.666666666672</v>
      </c>
      <c r="K46" s="471">
        <f t="shared" si="33"/>
        <v>-84666.666666666672</v>
      </c>
      <c r="L46" s="471">
        <f t="shared" si="33"/>
        <v>-84666.666666666672</v>
      </c>
      <c r="M46" s="471">
        <f t="shared" si="33"/>
        <v>-84666.666666666672</v>
      </c>
      <c r="N46" s="471">
        <f t="shared" si="33"/>
        <v>-84666.666666666672</v>
      </c>
      <c r="O46" s="471">
        <f t="shared" si="33"/>
        <v>-84666.666666666672</v>
      </c>
      <c r="P46" s="471">
        <f t="shared" si="33"/>
        <v>-84666.666666666672</v>
      </c>
      <c r="Q46" s="471">
        <f t="shared" si="33"/>
        <v>-84666.666666666672</v>
      </c>
      <c r="R46" s="471">
        <f t="shared" si="33"/>
        <v>-84666.666666666672</v>
      </c>
      <c r="S46" s="471">
        <f t="shared" si="33"/>
        <v>-84666.666666666672</v>
      </c>
      <c r="T46" s="471">
        <f t="shared" si="33"/>
        <v>-84666.666666666672</v>
      </c>
      <c r="U46" s="471">
        <f t="shared" si="33"/>
        <v>-84666.666666666672</v>
      </c>
      <c r="V46" s="471">
        <f t="shared" si="33"/>
        <v>-84666.666666666672</v>
      </c>
      <c r="W46" s="471">
        <f t="shared" si="33"/>
        <v>-84666.666666666672</v>
      </c>
      <c r="X46" s="471">
        <f t="shared" si="33"/>
        <v>-84666.666666666672</v>
      </c>
      <c r="Y46" s="471">
        <f t="shared" si="33"/>
        <v>-84666.666666666672</v>
      </c>
      <c r="Z46" s="471">
        <f t="shared" si="33"/>
        <v>-84666.666666666672</v>
      </c>
      <c r="AA46" s="471">
        <f t="shared" si="33"/>
        <v>-84666.666666666672</v>
      </c>
      <c r="AB46" s="471">
        <f t="shared" si="33"/>
        <v>-84666.666666666672</v>
      </c>
    </row>
    <row r="47" spans="2:28">
      <c r="B47" s="452" t="s">
        <v>810</v>
      </c>
      <c r="C47" s="450">
        <v>0</v>
      </c>
      <c r="D47" s="452"/>
      <c r="E47" s="471">
        <f>-$C$47/12</f>
        <v>0</v>
      </c>
      <c r="F47" s="471">
        <f t="shared" ref="F47:AB47" si="34">-$C$47/12</f>
        <v>0</v>
      </c>
      <c r="G47" s="471">
        <f t="shared" si="34"/>
        <v>0</v>
      </c>
      <c r="H47" s="471">
        <f t="shared" si="34"/>
        <v>0</v>
      </c>
      <c r="I47" s="471">
        <f t="shared" si="34"/>
        <v>0</v>
      </c>
      <c r="J47" s="471">
        <f t="shared" si="34"/>
        <v>0</v>
      </c>
      <c r="K47" s="471">
        <f t="shared" si="34"/>
        <v>0</v>
      </c>
      <c r="L47" s="471">
        <f t="shared" si="34"/>
        <v>0</v>
      </c>
      <c r="M47" s="471">
        <f t="shared" si="34"/>
        <v>0</v>
      </c>
      <c r="N47" s="471">
        <f t="shared" si="34"/>
        <v>0</v>
      </c>
      <c r="O47" s="471">
        <f t="shared" si="34"/>
        <v>0</v>
      </c>
      <c r="P47" s="471">
        <f t="shared" si="34"/>
        <v>0</v>
      </c>
      <c r="Q47" s="471">
        <f t="shared" si="34"/>
        <v>0</v>
      </c>
      <c r="R47" s="471">
        <f t="shared" si="34"/>
        <v>0</v>
      </c>
      <c r="S47" s="471">
        <f t="shared" si="34"/>
        <v>0</v>
      </c>
      <c r="T47" s="471">
        <f t="shared" si="34"/>
        <v>0</v>
      </c>
      <c r="U47" s="471">
        <f t="shared" si="34"/>
        <v>0</v>
      </c>
      <c r="V47" s="471">
        <f t="shared" si="34"/>
        <v>0</v>
      </c>
      <c r="W47" s="471">
        <f t="shared" si="34"/>
        <v>0</v>
      </c>
      <c r="X47" s="471">
        <f t="shared" si="34"/>
        <v>0</v>
      </c>
      <c r="Y47" s="471">
        <f t="shared" si="34"/>
        <v>0</v>
      </c>
      <c r="Z47" s="471">
        <f t="shared" si="34"/>
        <v>0</v>
      </c>
      <c r="AA47" s="471">
        <f t="shared" si="34"/>
        <v>0</v>
      </c>
      <c r="AB47" s="471">
        <f t="shared" si="34"/>
        <v>0</v>
      </c>
    </row>
    <row r="48" spans="2:28">
      <c r="B48" s="452" t="s">
        <v>809</v>
      </c>
      <c r="C48" s="450">
        <v>0</v>
      </c>
      <c r="D48" s="452"/>
      <c r="E48" s="471">
        <f t="shared" ref="E48:T50" si="35">-$C48</f>
        <v>0</v>
      </c>
      <c r="F48" s="471">
        <f t="shared" si="35"/>
        <v>0</v>
      </c>
      <c r="G48" s="471">
        <f t="shared" si="35"/>
        <v>0</v>
      </c>
      <c r="H48" s="471">
        <f t="shared" si="35"/>
        <v>0</v>
      </c>
      <c r="I48" s="471">
        <f t="shared" si="35"/>
        <v>0</v>
      </c>
      <c r="J48" s="471">
        <f t="shared" si="35"/>
        <v>0</v>
      </c>
      <c r="K48" s="471">
        <f t="shared" si="35"/>
        <v>0</v>
      </c>
      <c r="L48" s="471">
        <f t="shared" si="35"/>
        <v>0</v>
      </c>
      <c r="M48" s="471">
        <f t="shared" si="35"/>
        <v>0</v>
      </c>
      <c r="N48" s="471">
        <f t="shared" si="35"/>
        <v>0</v>
      </c>
      <c r="O48" s="471">
        <f t="shared" si="35"/>
        <v>0</v>
      </c>
      <c r="P48" s="471">
        <f t="shared" si="35"/>
        <v>0</v>
      </c>
      <c r="Q48" s="471">
        <f t="shared" si="35"/>
        <v>0</v>
      </c>
      <c r="R48" s="471">
        <f t="shared" si="35"/>
        <v>0</v>
      </c>
      <c r="S48" s="471">
        <f t="shared" si="35"/>
        <v>0</v>
      </c>
      <c r="T48" s="471">
        <f t="shared" si="35"/>
        <v>0</v>
      </c>
      <c r="U48" s="471">
        <f t="shared" ref="U48:AB50" si="36">-$C48</f>
        <v>0</v>
      </c>
      <c r="V48" s="471">
        <f t="shared" si="36"/>
        <v>0</v>
      </c>
      <c r="W48" s="471">
        <f t="shared" si="36"/>
        <v>0</v>
      </c>
      <c r="X48" s="471">
        <f t="shared" si="36"/>
        <v>0</v>
      </c>
      <c r="Y48" s="471">
        <f t="shared" si="36"/>
        <v>0</v>
      </c>
      <c r="Z48" s="471">
        <f t="shared" si="36"/>
        <v>0</v>
      </c>
      <c r="AA48" s="471">
        <f t="shared" si="36"/>
        <v>0</v>
      </c>
      <c r="AB48" s="471">
        <f t="shared" si="36"/>
        <v>0</v>
      </c>
    </row>
    <row r="49" spans="1:28">
      <c r="B49" s="452"/>
      <c r="C49" s="450">
        <v>0</v>
      </c>
      <c r="D49" s="452"/>
      <c r="E49" s="471">
        <f t="shared" si="35"/>
        <v>0</v>
      </c>
      <c r="F49" s="471">
        <f t="shared" si="35"/>
        <v>0</v>
      </c>
      <c r="G49" s="471">
        <f t="shared" si="35"/>
        <v>0</v>
      </c>
      <c r="H49" s="471">
        <f t="shared" si="35"/>
        <v>0</v>
      </c>
      <c r="I49" s="471">
        <f t="shared" si="35"/>
        <v>0</v>
      </c>
      <c r="J49" s="471">
        <f t="shared" si="35"/>
        <v>0</v>
      </c>
      <c r="K49" s="471">
        <f t="shared" si="35"/>
        <v>0</v>
      </c>
      <c r="L49" s="471">
        <f t="shared" si="35"/>
        <v>0</v>
      </c>
      <c r="M49" s="471">
        <f t="shared" si="35"/>
        <v>0</v>
      </c>
      <c r="N49" s="471">
        <f t="shared" si="35"/>
        <v>0</v>
      </c>
      <c r="O49" s="471">
        <f t="shared" si="35"/>
        <v>0</v>
      </c>
      <c r="P49" s="471">
        <f t="shared" si="35"/>
        <v>0</v>
      </c>
      <c r="Q49" s="471">
        <f t="shared" si="35"/>
        <v>0</v>
      </c>
      <c r="R49" s="471">
        <f t="shared" si="35"/>
        <v>0</v>
      </c>
      <c r="S49" s="471">
        <f t="shared" si="35"/>
        <v>0</v>
      </c>
      <c r="T49" s="471">
        <f t="shared" si="35"/>
        <v>0</v>
      </c>
      <c r="U49" s="471">
        <f t="shared" si="36"/>
        <v>0</v>
      </c>
      <c r="V49" s="471">
        <f t="shared" si="36"/>
        <v>0</v>
      </c>
      <c r="W49" s="471">
        <f t="shared" si="36"/>
        <v>0</v>
      </c>
      <c r="X49" s="471">
        <f t="shared" si="36"/>
        <v>0</v>
      </c>
      <c r="Y49" s="471">
        <f t="shared" si="36"/>
        <v>0</v>
      </c>
      <c r="Z49" s="471">
        <f t="shared" si="36"/>
        <v>0</v>
      </c>
      <c r="AA49" s="471">
        <f t="shared" si="36"/>
        <v>0</v>
      </c>
      <c r="AB49" s="471">
        <f t="shared" si="36"/>
        <v>0</v>
      </c>
    </row>
    <row r="50" spans="1:28">
      <c r="B50" s="452"/>
      <c r="C50" s="450">
        <v>0</v>
      </c>
      <c r="D50" s="452"/>
      <c r="E50" s="471">
        <f t="shared" si="35"/>
        <v>0</v>
      </c>
      <c r="F50" s="471">
        <f t="shared" si="35"/>
        <v>0</v>
      </c>
      <c r="G50" s="471">
        <f t="shared" si="35"/>
        <v>0</v>
      </c>
      <c r="H50" s="471">
        <f t="shared" si="35"/>
        <v>0</v>
      </c>
      <c r="I50" s="471">
        <f t="shared" si="35"/>
        <v>0</v>
      </c>
      <c r="J50" s="471">
        <f t="shared" si="35"/>
        <v>0</v>
      </c>
      <c r="K50" s="471">
        <f t="shared" si="35"/>
        <v>0</v>
      </c>
      <c r="L50" s="471">
        <f t="shared" si="35"/>
        <v>0</v>
      </c>
      <c r="M50" s="471">
        <f t="shared" si="35"/>
        <v>0</v>
      </c>
      <c r="N50" s="471">
        <f t="shared" si="35"/>
        <v>0</v>
      </c>
      <c r="O50" s="471">
        <f t="shared" si="35"/>
        <v>0</v>
      </c>
      <c r="P50" s="471">
        <f t="shared" si="35"/>
        <v>0</v>
      </c>
      <c r="Q50" s="471">
        <f t="shared" si="35"/>
        <v>0</v>
      </c>
      <c r="R50" s="471">
        <f t="shared" si="35"/>
        <v>0</v>
      </c>
      <c r="S50" s="471">
        <f t="shared" si="35"/>
        <v>0</v>
      </c>
      <c r="T50" s="471">
        <f t="shared" si="35"/>
        <v>0</v>
      </c>
      <c r="U50" s="471">
        <f t="shared" si="36"/>
        <v>0</v>
      </c>
      <c r="V50" s="471">
        <f t="shared" si="36"/>
        <v>0</v>
      </c>
      <c r="W50" s="471">
        <f t="shared" si="36"/>
        <v>0</v>
      </c>
      <c r="X50" s="471">
        <f t="shared" si="36"/>
        <v>0</v>
      </c>
      <c r="Y50" s="471">
        <f t="shared" si="36"/>
        <v>0</v>
      </c>
      <c r="Z50" s="471">
        <f t="shared" si="36"/>
        <v>0</v>
      </c>
      <c r="AA50" s="471">
        <f t="shared" si="36"/>
        <v>0</v>
      </c>
      <c r="AB50" s="471">
        <f t="shared" si="36"/>
        <v>0</v>
      </c>
    </row>
    <row r="51" spans="1:28">
      <c r="B51" s="452"/>
      <c r="C51" s="452"/>
      <c r="D51" s="452"/>
      <c r="E51" s="452"/>
      <c r="F51" s="452"/>
      <c r="G51" s="452"/>
      <c r="H51" s="452"/>
      <c r="Q51" s="452"/>
      <c r="R51" s="452"/>
      <c r="S51" s="452"/>
      <c r="T51" s="452"/>
    </row>
    <row r="52" spans="1:28">
      <c r="B52" s="480" t="s">
        <v>654</v>
      </c>
      <c r="C52" s="481">
        <v>0</v>
      </c>
      <c r="D52" s="452"/>
      <c r="E52" s="471">
        <f>-$C$52</f>
        <v>0</v>
      </c>
      <c r="F52" s="471">
        <f t="shared" ref="F52:AB52" si="37">-$C$52</f>
        <v>0</v>
      </c>
      <c r="G52" s="471">
        <f t="shared" si="37"/>
        <v>0</v>
      </c>
      <c r="H52" s="471">
        <f t="shared" si="37"/>
        <v>0</v>
      </c>
      <c r="I52" s="471">
        <f t="shared" si="37"/>
        <v>0</v>
      </c>
      <c r="J52" s="471">
        <f t="shared" si="37"/>
        <v>0</v>
      </c>
      <c r="K52" s="471">
        <f t="shared" si="37"/>
        <v>0</v>
      </c>
      <c r="L52" s="471">
        <f t="shared" si="37"/>
        <v>0</v>
      </c>
      <c r="M52" s="471">
        <f t="shared" si="37"/>
        <v>0</v>
      </c>
      <c r="N52" s="471">
        <f t="shared" si="37"/>
        <v>0</v>
      </c>
      <c r="O52" s="471">
        <f t="shared" si="37"/>
        <v>0</v>
      </c>
      <c r="P52" s="471">
        <f t="shared" si="37"/>
        <v>0</v>
      </c>
      <c r="Q52" s="471">
        <f>-$C$52</f>
        <v>0</v>
      </c>
      <c r="R52" s="471">
        <f t="shared" si="37"/>
        <v>0</v>
      </c>
      <c r="S52" s="471">
        <f t="shared" si="37"/>
        <v>0</v>
      </c>
      <c r="T52" s="471">
        <f t="shared" si="37"/>
        <v>0</v>
      </c>
      <c r="U52" s="471">
        <f t="shared" si="37"/>
        <v>0</v>
      </c>
      <c r="V52" s="471">
        <f t="shared" si="37"/>
        <v>0</v>
      </c>
      <c r="W52" s="471">
        <f t="shared" si="37"/>
        <v>0</v>
      </c>
      <c r="X52" s="471">
        <f t="shared" si="37"/>
        <v>0</v>
      </c>
      <c r="Y52" s="471">
        <f t="shared" si="37"/>
        <v>0</v>
      </c>
      <c r="Z52" s="471">
        <f t="shared" si="37"/>
        <v>0</v>
      </c>
      <c r="AA52" s="471">
        <f t="shared" si="37"/>
        <v>0</v>
      </c>
      <c r="AB52" s="471">
        <f t="shared" si="37"/>
        <v>0</v>
      </c>
    </row>
    <row r="53" spans="1:28">
      <c r="B53" s="452" t="s">
        <v>954</v>
      </c>
      <c r="C53" s="450">
        <f>100000+70000+90000</f>
        <v>260000</v>
      </c>
      <c r="D53" s="452"/>
      <c r="E53" s="452"/>
      <c r="F53" s="463">
        <f>-$C$53</f>
        <v>-260000</v>
      </c>
      <c r="G53" s="463">
        <f t="shared" ref="G53:AB53" si="38">$C$53</f>
        <v>260000</v>
      </c>
      <c r="H53" s="463">
        <f t="shared" si="38"/>
        <v>260000</v>
      </c>
      <c r="I53" s="463">
        <f t="shared" si="38"/>
        <v>260000</v>
      </c>
      <c r="J53" s="463">
        <f t="shared" si="38"/>
        <v>260000</v>
      </c>
      <c r="K53" s="463">
        <f t="shared" si="38"/>
        <v>260000</v>
      </c>
      <c r="L53" s="463">
        <f t="shared" si="38"/>
        <v>260000</v>
      </c>
      <c r="M53" s="463">
        <f t="shared" si="38"/>
        <v>260000</v>
      </c>
      <c r="N53" s="463">
        <f t="shared" si="38"/>
        <v>260000</v>
      </c>
      <c r="O53" s="463">
        <f t="shared" si="38"/>
        <v>260000</v>
      </c>
      <c r="P53" s="463">
        <f t="shared" si="38"/>
        <v>260000</v>
      </c>
      <c r="Q53" s="463">
        <f t="shared" si="38"/>
        <v>260000</v>
      </c>
      <c r="R53" s="463">
        <f t="shared" si="38"/>
        <v>260000</v>
      </c>
      <c r="S53" s="463">
        <f t="shared" si="38"/>
        <v>260000</v>
      </c>
      <c r="T53" s="463">
        <f t="shared" si="38"/>
        <v>260000</v>
      </c>
      <c r="U53" s="463">
        <f t="shared" si="38"/>
        <v>260000</v>
      </c>
      <c r="V53" s="463">
        <f t="shared" si="38"/>
        <v>260000</v>
      </c>
      <c r="W53" s="463">
        <f t="shared" si="38"/>
        <v>260000</v>
      </c>
      <c r="X53" s="463">
        <f t="shared" si="38"/>
        <v>260000</v>
      </c>
      <c r="Y53" s="463">
        <f t="shared" si="38"/>
        <v>260000</v>
      </c>
      <c r="Z53" s="463">
        <f t="shared" si="38"/>
        <v>260000</v>
      </c>
      <c r="AA53" s="463">
        <f t="shared" si="38"/>
        <v>260000</v>
      </c>
      <c r="AB53" s="463">
        <f t="shared" si="38"/>
        <v>260000</v>
      </c>
    </row>
    <row r="54" spans="1:28">
      <c r="B54" s="452"/>
      <c r="C54" s="450">
        <v>0</v>
      </c>
      <c r="D54" s="452"/>
      <c r="E54" s="452"/>
      <c r="F54" s="452"/>
      <c r="G54" s="452"/>
      <c r="H54" s="452"/>
      <c r="Q54" s="452"/>
      <c r="R54" s="452"/>
      <c r="S54" s="452"/>
      <c r="T54" s="452"/>
    </row>
    <row r="55" spans="1:28">
      <c r="B55" s="452"/>
      <c r="C55" s="452"/>
      <c r="D55" s="452"/>
      <c r="E55" s="452"/>
      <c r="F55" s="452"/>
      <c r="G55" s="452"/>
      <c r="H55" s="452"/>
      <c r="Q55" s="452"/>
      <c r="R55" s="452"/>
      <c r="S55" s="452"/>
      <c r="T55" s="452"/>
    </row>
    <row r="56" spans="1:28">
      <c r="B56" s="452" t="s">
        <v>176</v>
      </c>
      <c r="C56" s="452"/>
      <c r="D56" s="452"/>
      <c r="E56" s="482">
        <f>SUM(E25,E30:E33,E36:E43,E46:E50,E52:E54)</f>
        <v>-84666.666666666672</v>
      </c>
      <c r="F56" s="483">
        <f>SUM(F30:F55)+F25</f>
        <v>-508348.58666666667</v>
      </c>
      <c r="G56" s="483">
        <f t="shared" ref="G56:AB56" si="39">SUM(G30:G55)+G25</f>
        <v>2657651.4133333331</v>
      </c>
      <c r="H56" s="483">
        <f t="shared" si="39"/>
        <v>2657651.4133333331</v>
      </c>
      <c r="I56" s="483">
        <f t="shared" si="39"/>
        <v>2657651.4133333331</v>
      </c>
      <c r="J56" s="483">
        <f t="shared" si="39"/>
        <v>2657651.4133333331</v>
      </c>
      <c r="K56" s="483">
        <f t="shared" si="39"/>
        <v>2657651.4133333331</v>
      </c>
      <c r="L56" s="483">
        <f t="shared" si="39"/>
        <v>2657651.4133333331</v>
      </c>
      <c r="M56" s="483">
        <f t="shared" si="39"/>
        <v>2657651.4133333331</v>
      </c>
      <c r="N56" s="483">
        <f t="shared" si="39"/>
        <v>2657651.4133333331</v>
      </c>
      <c r="O56" s="483">
        <f t="shared" si="39"/>
        <v>2657651.4133333331</v>
      </c>
      <c r="P56" s="483">
        <f t="shared" si="39"/>
        <v>2657651.4133333331</v>
      </c>
      <c r="Q56" s="483">
        <f t="shared" si="39"/>
        <v>16946051.413333334</v>
      </c>
      <c r="R56" s="483">
        <f t="shared" si="39"/>
        <v>16946051.413333334</v>
      </c>
      <c r="S56" s="483">
        <f t="shared" si="39"/>
        <v>16946051.413333334</v>
      </c>
      <c r="T56" s="483">
        <f t="shared" si="39"/>
        <v>16946051.413333334</v>
      </c>
      <c r="U56" s="483">
        <f t="shared" si="39"/>
        <v>16946051.413333334</v>
      </c>
      <c r="V56" s="483">
        <f t="shared" si="39"/>
        <v>16946051.413333334</v>
      </c>
      <c r="W56" s="483">
        <f t="shared" si="39"/>
        <v>16946051.413333334</v>
      </c>
      <c r="X56" s="483">
        <f t="shared" si="39"/>
        <v>16946051.413333334</v>
      </c>
      <c r="Y56" s="483">
        <f t="shared" si="39"/>
        <v>16946051.413333334</v>
      </c>
      <c r="Z56" s="483">
        <f t="shared" si="39"/>
        <v>16946051.413333334</v>
      </c>
      <c r="AA56" s="483">
        <f t="shared" si="39"/>
        <v>16946051.413333334</v>
      </c>
      <c r="AB56" s="483">
        <f t="shared" si="39"/>
        <v>16946051.413333334</v>
      </c>
    </row>
    <row r="57" spans="1:28">
      <c r="B57" s="484" t="s">
        <v>657</v>
      </c>
      <c r="C57" s="485"/>
      <c r="D57" s="486"/>
      <c r="E57" s="627">
        <f>E56</f>
        <v>-84666.666666666672</v>
      </c>
      <c r="F57" s="628">
        <f>E57+F56</f>
        <v>-593015.2533333333</v>
      </c>
      <c r="G57" s="628">
        <f t="shared" ref="G57:O57" si="40">F57+G56</f>
        <v>2064636.1599999997</v>
      </c>
      <c r="H57" s="628">
        <f t="shared" si="40"/>
        <v>4722287.5733333323</v>
      </c>
      <c r="I57" s="628">
        <f t="shared" si="40"/>
        <v>7379938.9866666654</v>
      </c>
      <c r="J57" s="628">
        <f t="shared" si="40"/>
        <v>10037590.399999999</v>
      </c>
      <c r="K57" s="628">
        <f t="shared" si="40"/>
        <v>12695241.813333333</v>
      </c>
      <c r="L57" s="628">
        <f t="shared" si="40"/>
        <v>15352893.226666667</v>
      </c>
      <c r="M57" s="628">
        <f t="shared" si="40"/>
        <v>18010544.640000001</v>
      </c>
      <c r="N57" s="628">
        <f t="shared" si="40"/>
        <v>20668196.053333335</v>
      </c>
      <c r="O57" s="628">
        <f t="shared" si="40"/>
        <v>23325847.466666669</v>
      </c>
      <c r="P57" s="628">
        <f>O57+P56</f>
        <v>25983498.880000003</v>
      </c>
      <c r="Q57" s="627">
        <f>P57+Q56</f>
        <v>42929550.293333337</v>
      </c>
      <c r="R57" s="628">
        <f>Q57+R56</f>
        <v>59875601.706666671</v>
      </c>
      <c r="S57" s="628">
        <f t="shared" ref="S57:AB57" si="41">R57+S56</f>
        <v>76821653.120000005</v>
      </c>
      <c r="T57" s="628">
        <f t="shared" si="41"/>
        <v>93767704.533333331</v>
      </c>
      <c r="U57" s="628">
        <f t="shared" si="41"/>
        <v>110713755.94666666</v>
      </c>
      <c r="V57" s="628">
        <f t="shared" si="41"/>
        <v>127659807.35999998</v>
      </c>
      <c r="W57" s="628">
        <f t="shared" si="41"/>
        <v>144605858.77333331</v>
      </c>
      <c r="X57" s="628">
        <f t="shared" si="41"/>
        <v>161551910.18666664</v>
      </c>
      <c r="Y57" s="628">
        <f t="shared" si="41"/>
        <v>178497961.59999996</v>
      </c>
      <c r="Z57" s="628">
        <f t="shared" si="41"/>
        <v>195444013.01333329</v>
      </c>
      <c r="AA57" s="628">
        <f t="shared" si="41"/>
        <v>212390064.42666662</v>
      </c>
      <c r="AB57" s="628">
        <f t="shared" si="41"/>
        <v>229336115.83999994</v>
      </c>
    </row>
    <row r="61" spans="1:28">
      <c r="A61" s="384" t="s">
        <v>658</v>
      </c>
      <c r="E61" s="469"/>
      <c r="F61" s="490"/>
    </row>
    <row r="62" spans="1:28">
      <c r="E62" s="469"/>
      <c r="F62" s="490"/>
    </row>
    <row r="63" spans="1:28" ht="14.25">
      <c r="E63" s="626" t="s">
        <v>659</v>
      </c>
      <c r="F63" s="492">
        <f>MIN(E57:AB57)</f>
        <v>-593015.2533333333</v>
      </c>
      <c r="G63" s="384" t="s">
        <v>660</v>
      </c>
    </row>
    <row r="64" spans="1:28">
      <c r="E64" s="469"/>
      <c r="F64" s="490"/>
    </row>
    <row r="65" spans="2:11" ht="15" customHeight="1">
      <c r="F65" s="493"/>
      <c r="G65" s="384" t="s">
        <v>661</v>
      </c>
    </row>
    <row r="66" spans="2:11" ht="15" customHeight="1">
      <c r="G66" s="384" t="s">
        <v>662</v>
      </c>
    </row>
    <row r="67" spans="2:11" ht="15" customHeight="1">
      <c r="G67" s="384" t="s">
        <v>663</v>
      </c>
    </row>
    <row r="70" spans="2:11" ht="15" customHeight="1">
      <c r="B70" s="384" t="s">
        <v>664</v>
      </c>
      <c r="F70" s="1728" t="s">
        <v>665</v>
      </c>
      <c r="G70" s="1728"/>
      <c r="H70" s="1728"/>
      <c r="I70" s="1728"/>
      <c r="J70" s="1728"/>
    </row>
    <row r="71" spans="2:11" ht="15" customHeight="1" thickBot="1">
      <c r="B71" s="494" t="s">
        <v>666</v>
      </c>
      <c r="C71" s="494"/>
      <c r="D71" s="494"/>
      <c r="E71" s="495"/>
      <c r="F71" s="449" t="s">
        <v>667</v>
      </c>
      <c r="G71" s="494"/>
      <c r="H71" s="494"/>
      <c r="I71" s="494"/>
      <c r="J71" s="494"/>
    </row>
    <row r="72" spans="2:11" ht="15" customHeight="1" thickTop="1" thickBot="1">
      <c r="B72" s="494" t="s">
        <v>668</v>
      </c>
      <c r="C72" s="494"/>
      <c r="D72" s="496">
        <v>120000</v>
      </c>
      <c r="F72" s="494" t="s">
        <v>427</v>
      </c>
      <c r="G72" s="494" t="s">
        <v>177</v>
      </c>
      <c r="H72" s="494" t="s">
        <v>669</v>
      </c>
      <c r="I72" s="494" t="s">
        <v>670</v>
      </c>
      <c r="J72" s="494" t="s">
        <v>671</v>
      </c>
    </row>
    <row r="73" spans="2:11" ht="15" customHeight="1" thickTop="1" thickBot="1">
      <c r="B73" s="494" t="s">
        <v>672</v>
      </c>
      <c r="C73" s="494"/>
      <c r="D73" s="496">
        <v>100000</v>
      </c>
      <c r="F73" s="494">
        <v>0</v>
      </c>
      <c r="G73" s="496">
        <v>0</v>
      </c>
      <c r="H73" s="497">
        <v>0</v>
      </c>
      <c r="I73" s="498">
        <v>0</v>
      </c>
      <c r="J73" s="499">
        <f>F63</f>
        <v>-593015.2533333333</v>
      </c>
      <c r="K73" s="419" t="s">
        <v>673</v>
      </c>
    </row>
    <row r="74" spans="2:11" ht="15" customHeight="1" thickTop="1" thickBot="1">
      <c r="B74" s="494" t="s">
        <v>674</v>
      </c>
      <c r="C74" s="494"/>
      <c r="D74" s="496">
        <v>80000</v>
      </c>
      <c r="F74" s="494">
        <v>1</v>
      </c>
      <c r="G74" s="384">
        <f>3000*12</f>
        <v>36000</v>
      </c>
      <c r="H74" s="497">
        <v>0</v>
      </c>
      <c r="I74" s="498">
        <f>J73</f>
        <v>-593015.2533333333</v>
      </c>
      <c r="J74" s="500">
        <f>I74*H75</f>
        <v>-17790.457600000016</v>
      </c>
    </row>
    <row r="75" spans="2:11" ht="15" customHeight="1" thickTop="1" thickBot="1">
      <c r="B75" s="494" t="s">
        <v>676</v>
      </c>
      <c r="C75" s="494"/>
      <c r="D75" s="496">
        <v>630000</v>
      </c>
      <c r="F75" s="494">
        <v>2</v>
      </c>
      <c r="G75" s="384">
        <f>G74*1.03</f>
        <v>37080</v>
      </c>
      <c r="H75" s="497">
        <f>G75/G74-1</f>
        <v>3.0000000000000027E-2</v>
      </c>
      <c r="I75" s="498">
        <f>I74+J74</f>
        <v>-610805.71093333326</v>
      </c>
      <c r="J75" s="500">
        <f>I75*H76</f>
        <v>-18324.171328000015</v>
      </c>
    </row>
    <row r="76" spans="2:11" ht="15" customHeight="1" thickTop="1" thickBot="1">
      <c r="B76" s="501"/>
      <c r="C76" s="501" t="s">
        <v>677</v>
      </c>
      <c r="D76" s="496">
        <f>(D72-D73)*(D75/D74)</f>
        <v>157500</v>
      </c>
      <c r="F76" s="494">
        <v>3</v>
      </c>
      <c r="G76" s="384">
        <f>G75*1.03</f>
        <v>38192.400000000001</v>
      </c>
      <c r="H76" s="497">
        <f>G76/G75-1</f>
        <v>3.0000000000000027E-2</v>
      </c>
      <c r="I76" s="498">
        <f>I75+J75</f>
        <v>-629129.88226133329</v>
      </c>
      <c r="J76" s="500">
        <f>I76*H77</f>
        <v>-18873.896467840015</v>
      </c>
    </row>
    <row r="77" spans="2:11" ht="15" customHeight="1" thickTop="1">
      <c r="F77" s="494">
        <v>4</v>
      </c>
      <c r="G77" s="384">
        <f>G76*1.03</f>
        <v>39338.172000000006</v>
      </c>
      <c r="H77" s="497">
        <f>G77/G76-1</f>
        <v>3.0000000000000027E-2</v>
      </c>
      <c r="I77" s="498">
        <f>I76+J76</f>
        <v>-648003.77872917335</v>
      </c>
      <c r="J77" s="500">
        <f>I77*H78</f>
        <v>-19440.113361875217</v>
      </c>
    </row>
    <row r="78" spans="2:11" ht="15" customHeight="1">
      <c r="F78" s="494">
        <v>5</v>
      </c>
      <c r="G78" s="384">
        <f>G77*1.03</f>
        <v>40518.317160000006</v>
      </c>
      <c r="H78" s="497">
        <f>G78/G77-1</f>
        <v>3.0000000000000027E-2</v>
      </c>
      <c r="I78" s="498">
        <f>I77+J77</f>
        <v>-667443.89209104853</v>
      </c>
      <c r="J78" s="500">
        <f>I78*H79</f>
        <v>0</v>
      </c>
    </row>
    <row r="79" spans="2:11" ht="15" customHeight="1">
      <c r="G79" s="419" t="s">
        <v>678</v>
      </c>
    </row>
    <row r="84" spans="2:13" ht="15" customHeight="1" thickBot="1"/>
    <row r="85" spans="2:13" ht="15" customHeight="1" thickBot="1">
      <c r="B85" s="1729" t="s">
        <v>679</v>
      </c>
      <c r="C85" s="1730"/>
      <c r="D85" s="1730"/>
      <c r="E85" s="1730"/>
      <c r="F85" s="1731"/>
    </row>
    <row r="86" spans="2:13" ht="15" customHeight="1">
      <c r="B86" s="502" t="s">
        <v>680</v>
      </c>
      <c r="C86" s="503" t="s">
        <v>681</v>
      </c>
      <c r="D86" s="503" t="s">
        <v>682</v>
      </c>
      <c r="E86" s="503" t="s">
        <v>683</v>
      </c>
      <c r="F86" s="504" t="s">
        <v>684</v>
      </c>
    </row>
    <row r="87" spans="2:13" ht="15" customHeight="1">
      <c r="B87" s="505" t="s">
        <v>685</v>
      </c>
      <c r="C87" s="506">
        <v>1</v>
      </c>
      <c r="D87" s="507">
        <v>330000</v>
      </c>
      <c r="E87" s="508">
        <v>0.4</v>
      </c>
      <c r="F87" s="509">
        <f>D87*(1+E87)*13*C87</f>
        <v>6005999.9999999991</v>
      </c>
    </row>
    <row r="88" spans="2:13" ht="15" customHeight="1">
      <c r="B88" s="505" t="s">
        <v>686</v>
      </c>
      <c r="C88" s="506">
        <v>4</v>
      </c>
      <c r="D88" s="507">
        <v>170000</v>
      </c>
      <c r="E88" s="510">
        <v>0.4</v>
      </c>
      <c r="F88" s="509">
        <f>D88*(1+E88)*13*C88</f>
        <v>12375999.999999998</v>
      </c>
    </row>
    <row r="89" spans="2:13" ht="15" customHeight="1" thickBot="1">
      <c r="B89" s="511"/>
      <c r="C89" s="512"/>
      <c r="D89" s="513"/>
      <c r="E89" s="512"/>
      <c r="F89" s="514">
        <f>D89*(1+E89)*13*C89</f>
        <v>0</v>
      </c>
    </row>
    <row r="90" spans="2:13" ht="15" customHeight="1" thickBot="1">
      <c r="C90" s="515"/>
      <c r="D90" s="515"/>
      <c r="E90" s="516" t="s">
        <v>176</v>
      </c>
      <c r="F90" s="517">
        <f>SUM(F87:F89)</f>
        <v>18381999.999999996</v>
      </c>
    </row>
    <row r="91" spans="2:13" ht="15" customHeight="1" thickBot="1"/>
    <row r="92" spans="2:13" ht="15" customHeight="1" thickBot="1">
      <c r="B92" s="1732" t="s">
        <v>576</v>
      </c>
      <c r="C92" s="1733"/>
      <c r="D92" s="1733"/>
      <c r="E92" s="1733"/>
      <c r="F92" s="1733"/>
      <c r="G92" s="1733"/>
      <c r="H92" s="1733"/>
      <c r="I92" s="1733"/>
      <c r="J92" s="1733"/>
      <c r="K92" s="1734"/>
    </row>
    <row r="93" spans="2:13" ht="15" customHeight="1">
      <c r="B93" s="518" t="s">
        <v>577</v>
      </c>
      <c r="C93" s="519" t="s">
        <v>578</v>
      </c>
      <c r="D93" s="520" t="s">
        <v>579</v>
      </c>
      <c r="E93" s="520" t="s">
        <v>102</v>
      </c>
      <c r="F93" s="520" t="s">
        <v>580</v>
      </c>
      <c r="G93" s="520" t="s">
        <v>581</v>
      </c>
      <c r="H93" s="520" t="s">
        <v>582</v>
      </c>
      <c r="I93" s="521" t="s">
        <v>583</v>
      </c>
      <c r="J93" s="522" t="s">
        <v>584</v>
      </c>
      <c r="K93" s="518" t="s">
        <v>585</v>
      </c>
      <c r="M93" s="518" t="s">
        <v>586</v>
      </c>
    </row>
    <row r="94" spans="2:13" ht="15" customHeight="1">
      <c r="B94" s="523" t="s">
        <v>587</v>
      </c>
      <c r="C94" s="524">
        <v>580</v>
      </c>
      <c r="D94" s="506" t="s">
        <v>519</v>
      </c>
      <c r="E94" s="525"/>
      <c r="F94" s="525">
        <v>0.2</v>
      </c>
      <c r="G94" s="526">
        <f>1-F94</f>
        <v>0.8</v>
      </c>
      <c r="H94" s="527">
        <f>C94/G94</f>
        <v>725</v>
      </c>
      <c r="I94" s="506">
        <v>5</v>
      </c>
      <c r="J94" s="528">
        <f>I94*H94*(1+E94)</f>
        <v>3625</v>
      </c>
      <c r="K94" s="1735">
        <f>SUM(J94:J98)</f>
        <v>4354.5</v>
      </c>
      <c r="L94" s="1717" t="s">
        <v>588</v>
      </c>
      <c r="M94" s="1718">
        <f>SUM(K94,L98)</f>
        <v>4554.5</v>
      </c>
    </row>
    <row r="95" spans="2:13" ht="15" customHeight="1">
      <c r="B95" s="523" t="s">
        <v>589</v>
      </c>
      <c r="C95" s="524">
        <v>100</v>
      </c>
      <c r="D95" s="506" t="s">
        <v>519</v>
      </c>
      <c r="E95" s="525">
        <v>0.1</v>
      </c>
      <c r="F95" s="525"/>
      <c r="G95" s="526">
        <f>1-F95</f>
        <v>1</v>
      </c>
      <c r="H95" s="527">
        <f>C95/G95</f>
        <v>100</v>
      </c>
      <c r="I95" s="526">
        <v>1</v>
      </c>
      <c r="J95" s="528">
        <f>I95*C95*(1+E95)</f>
        <v>110.00000000000001</v>
      </c>
      <c r="K95" s="1736"/>
      <c r="L95" s="1717"/>
      <c r="M95" s="1718"/>
    </row>
    <row r="96" spans="2:13" ht="15" customHeight="1">
      <c r="B96" s="523" t="s">
        <v>590</v>
      </c>
      <c r="C96" s="524">
        <v>150</v>
      </c>
      <c r="D96" s="506" t="s">
        <v>591</v>
      </c>
      <c r="E96" s="525"/>
      <c r="F96" s="525"/>
      <c r="G96" s="526">
        <f>1-F96</f>
        <v>1</v>
      </c>
      <c r="H96" s="527">
        <f>C96/G96</f>
        <v>150</v>
      </c>
      <c r="I96" s="506">
        <v>0.35</v>
      </c>
      <c r="J96" s="528">
        <f>I96*C96*(1+E96)</f>
        <v>52.5</v>
      </c>
      <c r="K96" s="1736"/>
      <c r="L96" s="1717"/>
      <c r="M96" s="1718"/>
    </row>
    <row r="97" spans="2:13" ht="15" customHeight="1">
      <c r="B97" s="523" t="s">
        <v>592</v>
      </c>
      <c r="C97" s="524">
        <v>63</v>
      </c>
      <c r="D97" s="506" t="s">
        <v>591</v>
      </c>
      <c r="E97" s="525"/>
      <c r="F97" s="525"/>
      <c r="G97" s="526">
        <f>1-F97</f>
        <v>1</v>
      </c>
      <c r="H97" s="527">
        <f>C97/G97</f>
        <v>63</v>
      </c>
      <c r="I97" s="506">
        <v>8</v>
      </c>
      <c r="J97" s="528">
        <f>I97*C97*(1+E97)</f>
        <v>504</v>
      </c>
      <c r="K97" s="1736"/>
      <c r="L97" s="1717"/>
      <c r="M97" s="1718"/>
    </row>
    <row r="98" spans="2:13" ht="15" customHeight="1" thickBot="1">
      <c r="B98" s="529" t="s">
        <v>593</v>
      </c>
      <c r="C98" s="530">
        <v>63</v>
      </c>
      <c r="D98" s="512" t="s">
        <v>594</v>
      </c>
      <c r="E98" s="531"/>
      <c r="F98" s="531"/>
      <c r="G98" s="526">
        <f>1-F98</f>
        <v>1</v>
      </c>
      <c r="H98" s="527">
        <f>C98/G98</f>
        <v>63</v>
      </c>
      <c r="I98" s="512">
        <v>1</v>
      </c>
      <c r="J98" s="528">
        <f>I98*C98*(1+E98)</f>
        <v>63</v>
      </c>
      <c r="K98" s="1737"/>
      <c r="L98" s="532">
        <v>200</v>
      </c>
      <c r="M98" s="1718"/>
    </row>
    <row r="99" spans="2:13" ht="15" customHeight="1">
      <c r="C99" s="419" t="s">
        <v>595</v>
      </c>
      <c r="E99" s="1719" t="s">
        <v>596</v>
      </c>
      <c r="F99" s="1720"/>
      <c r="I99" s="419" t="s">
        <v>595</v>
      </c>
      <c r="L99" s="419" t="s">
        <v>597</v>
      </c>
    </row>
  </sheetData>
  <mergeCells count="12">
    <mergeCell ref="E99:F99"/>
    <mergeCell ref="B2:C4"/>
    <mergeCell ref="E5:P5"/>
    <mergeCell ref="Q5:AB5"/>
    <mergeCell ref="E22:P22"/>
    <mergeCell ref="Q22:AB22"/>
    <mergeCell ref="F70:J70"/>
    <mergeCell ref="B85:F85"/>
    <mergeCell ref="B92:K92"/>
    <mergeCell ref="K94:K98"/>
    <mergeCell ref="L94:L97"/>
    <mergeCell ref="M94:M98"/>
  </mergeCells>
  <conditionalFormatting sqref="B85">
    <cfRule type="containsText" dxfId="17" priority="1" operator="containsText" text="999">
      <formula>NOT(ISERROR(SEARCH(("999"),(B85))))</formula>
    </cfRule>
  </conditionalFormatting>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34C6A-851D-414A-9828-4D6FB23711F4}">
  <dimension ref="A2:Y206"/>
  <sheetViews>
    <sheetView topLeftCell="B114" workbookViewId="0">
      <selection activeCell="N67" sqref="N67"/>
    </sheetView>
  </sheetViews>
  <sheetFormatPr defaultRowHeight="12.75"/>
  <cols>
    <col min="1" max="1" width="13.140625" customWidth="1"/>
    <col min="2" max="2" width="16.42578125" customWidth="1"/>
    <col min="3" max="3" width="35.42578125" bestFit="1" customWidth="1"/>
    <col min="4" max="4" width="51.85546875" customWidth="1"/>
    <col min="5" max="5" width="19.5703125" customWidth="1"/>
    <col min="6" max="6" width="29.28515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v>4500000</v>
      </c>
      <c r="N13" s="597" t="s">
        <v>506</v>
      </c>
      <c r="O13" s="351"/>
    </row>
    <row r="14" spans="1:15">
      <c r="M14" s="596">
        <f>M13/1.21</f>
        <v>3719008.26446281</v>
      </c>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11:21">
      <c r="M34" s="351"/>
    </row>
    <row r="35" spans="11:21">
      <c r="O35" s="1755"/>
      <c r="P35" s="1714"/>
      <c r="Q35" s="1714"/>
      <c r="R35" s="1714"/>
      <c r="S35" s="1714"/>
    </row>
    <row r="36" spans="11:21">
      <c r="O36" s="700"/>
      <c r="P36" s="700"/>
      <c r="Q36" s="700"/>
      <c r="R36" s="700"/>
      <c r="S36" s="700"/>
    </row>
    <row r="37" spans="11:21">
      <c r="O37" s="702"/>
      <c r="P37" s="702"/>
      <c r="Q37" s="702"/>
      <c r="R37" s="702"/>
      <c r="S37" s="702"/>
    </row>
    <row r="39" spans="11:21" ht="15.75">
      <c r="K39" s="1037" t="s">
        <v>1095</v>
      </c>
      <c r="L39" s="1037"/>
      <c r="M39" s="1037"/>
      <c r="N39" s="1037"/>
      <c r="O39" s="1037"/>
    </row>
    <row r="40" spans="11:21" ht="15.75">
      <c r="K40" s="1037" t="s">
        <v>1096</v>
      </c>
      <c r="L40" s="1037"/>
      <c r="M40" s="1037"/>
      <c r="N40" s="1037"/>
      <c r="O40" s="1037"/>
    </row>
    <row r="41" spans="11:21" ht="15.75">
      <c r="K41" s="1037"/>
      <c r="L41" s="1037"/>
      <c r="M41" s="1811"/>
      <c r="N41" s="1811"/>
      <c r="O41" s="1811"/>
      <c r="P41" s="701"/>
      <c r="Q41" s="701"/>
      <c r="R41" s="701"/>
      <c r="S41" s="701"/>
      <c r="T41" s="300"/>
      <c r="U41" s="301"/>
    </row>
    <row r="42" spans="11:21">
      <c r="M42" s="1755"/>
      <c r="N42" s="1714"/>
      <c r="O42" s="1714"/>
    </row>
    <row r="43" spans="11:21">
      <c r="M43" s="700"/>
      <c r="N43" s="700"/>
      <c r="O43" s="700"/>
    </row>
    <row r="44" spans="11:21">
      <c r="M44" s="703"/>
      <c r="N44" s="702"/>
      <c r="O44" s="702"/>
    </row>
    <row r="45" spans="11:21">
      <c r="M45" s="1755"/>
      <c r="N45" s="1714"/>
      <c r="O45" s="1714"/>
    </row>
    <row r="46" spans="11:21">
      <c r="M46" s="700"/>
      <c r="N46" s="701"/>
      <c r="O46" s="701"/>
    </row>
    <row r="47" spans="11:21">
      <c r="M47" s="700"/>
      <c r="N47" s="701"/>
      <c r="O47" s="701"/>
    </row>
    <row r="48" spans="11: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M57" s="731" t="s">
        <v>832</v>
      </c>
      <c r="N57" s="583"/>
      <c r="U57" s="4"/>
      <c r="V57" s="547"/>
      <c r="W57" s="548"/>
    </row>
    <row r="58" spans="4:23" ht="14.25">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c r="E61" s="677"/>
      <c r="F61" s="730"/>
      <c r="G61" s="408" t="s">
        <v>825</v>
      </c>
      <c r="I61" s="1807" t="s">
        <v>1528</v>
      </c>
      <c r="J61" s="1808"/>
      <c r="K61" s="1808"/>
      <c r="L61" s="1808"/>
      <c r="M61" s="1808"/>
      <c r="N61" s="1808"/>
      <c r="O61" s="702"/>
      <c r="U61" s="4"/>
      <c r="V61" s="4"/>
    </row>
    <row r="62" spans="4:23" ht="15" thickBot="1">
      <c r="D62" s="1788"/>
      <c r="E62" s="680"/>
      <c r="F62" s="681"/>
      <c r="G62" s="708">
        <f>F62*F61</f>
        <v>0</v>
      </c>
      <c r="I62" s="408"/>
      <c r="J62" s="408">
        <v>1</v>
      </c>
      <c r="K62" s="408">
        <v>2</v>
      </c>
      <c r="L62" s="408">
        <v>3</v>
      </c>
      <c r="M62" s="699">
        <v>4</v>
      </c>
      <c r="N62" s="699">
        <v>5</v>
      </c>
      <c r="U62" s="4"/>
      <c r="V62" s="4"/>
    </row>
    <row r="63" spans="4:23" ht="14.25">
      <c r="D63" s="1789"/>
      <c r="E63" s="682" t="s">
        <v>451</v>
      </c>
      <c r="F63" s="683"/>
      <c r="G63" s="684">
        <v>25500</v>
      </c>
      <c r="H63" s="768"/>
      <c r="I63" s="408" t="s">
        <v>827</v>
      </c>
      <c r="J63" s="408">
        <v>1</v>
      </c>
      <c r="K63" s="685">
        <v>1</v>
      </c>
      <c r="L63" s="685">
        <v>1</v>
      </c>
      <c r="M63" s="685">
        <v>-0.8</v>
      </c>
      <c r="N63" s="685">
        <v>-0.8</v>
      </c>
      <c r="O63" s="736" t="s">
        <v>835</v>
      </c>
      <c r="P63" s="585"/>
      <c r="Q63" s="585"/>
      <c r="R63" s="585"/>
      <c r="S63" s="585"/>
      <c r="T63" s="585"/>
      <c r="U63" s="4"/>
      <c r="V63" s="549"/>
    </row>
    <row r="64" spans="4:23" ht="14.25">
      <c r="D64" s="1789"/>
      <c r="E64" s="686" t="s">
        <v>632</v>
      </c>
      <c r="F64" s="687"/>
      <c r="G64" s="688">
        <f>G63*1.1</f>
        <v>28050.000000000004</v>
      </c>
      <c r="H64" s="768"/>
      <c r="I64" s="408" t="s">
        <v>177</v>
      </c>
      <c r="J64" s="735">
        <f>G63</f>
        <v>25500</v>
      </c>
      <c r="K64" s="735">
        <f>G64</f>
        <v>28050.000000000004</v>
      </c>
      <c r="L64" s="735">
        <f>G65</f>
        <v>30855.000000000007</v>
      </c>
      <c r="M64" s="735">
        <f>G66</f>
        <v>29620.800000000007</v>
      </c>
      <c r="N64" s="735">
        <f>G67</f>
        <v>28435.968000000008</v>
      </c>
      <c r="O64" s="351"/>
    </row>
    <row r="65" spans="1:25" ht="14.25">
      <c r="D65" s="1789"/>
      <c r="E65" s="686" t="s">
        <v>793</v>
      </c>
      <c r="F65" s="687"/>
      <c r="G65" s="688">
        <f>G64*1.1</f>
        <v>30855.000000000007</v>
      </c>
      <c r="H65" s="768"/>
      <c r="I65" s="689" t="s">
        <v>828</v>
      </c>
      <c r="J65" s="408"/>
      <c r="K65" s="408">
        <f>(K64-J64)/J64</f>
        <v>0.10000000000000014</v>
      </c>
      <c r="L65" s="408">
        <f>(L64-K64)/K64</f>
        <v>0.10000000000000012</v>
      </c>
      <c r="M65" s="408">
        <f>(M64-L64)/L64</f>
        <v>-4.0000000000000015E-2</v>
      </c>
      <c r="N65" s="408">
        <f>(N64-M64)/M64</f>
        <v>-3.9999999999999938E-2</v>
      </c>
      <c r="O65" s="351" t="s">
        <v>1071</v>
      </c>
    </row>
    <row r="66" spans="1:25" ht="15">
      <c r="D66" s="1789"/>
      <c r="E66" s="686" t="s">
        <v>794</v>
      </c>
      <c r="F66" s="687"/>
      <c r="G66" s="688">
        <f>G65-G65*0.04</f>
        <v>29620.800000000007</v>
      </c>
      <c r="H66" s="768"/>
      <c r="I66" s="689" t="s">
        <v>829</v>
      </c>
      <c r="J66" s="408"/>
      <c r="K66" s="408">
        <f>K65/K63</f>
        <v>0.10000000000000014</v>
      </c>
      <c r="L66" s="408">
        <f>L65/L63</f>
        <v>0.10000000000000012</v>
      </c>
      <c r="M66" s="408">
        <f>M65/M63</f>
        <v>5.0000000000000017E-2</v>
      </c>
      <c r="N66" s="408">
        <f>N65/N63</f>
        <v>4.999999999999992E-2</v>
      </c>
      <c r="U66" s="550"/>
      <c r="V66" s="1748"/>
      <c r="W66" s="1749"/>
      <c r="X66" s="1749"/>
      <c r="Y66" s="1750"/>
    </row>
    <row r="67" spans="1:25" ht="15.75" thickBot="1">
      <c r="D67" s="1790"/>
      <c r="E67" s="690" t="s">
        <v>795</v>
      </c>
      <c r="F67" s="691"/>
      <c r="G67" s="688">
        <f>G66-G66*0.04</f>
        <v>28435.968000000008</v>
      </c>
      <c r="H67" s="768"/>
      <c r="I67" s="680" t="s">
        <v>220</v>
      </c>
      <c r="J67" s="693">
        <f>H69</f>
        <v>3500</v>
      </c>
      <c r="K67" s="693">
        <v>3500</v>
      </c>
      <c r="L67" s="692">
        <v>3500</v>
      </c>
      <c r="M67" s="692">
        <f>L67*(1+M66)</f>
        <v>3675</v>
      </c>
      <c r="N67" s="692">
        <f>M67*(1+N66)</f>
        <v>3858.7499999999995</v>
      </c>
      <c r="O67" s="351" t="s">
        <v>1077</v>
      </c>
      <c r="U67" s="551"/>
      <c r="V67" s="552"/>
      <c r="W67" s="552"/>
      <c r="X67" s="552"/>
      <c r="Y67" s="553"/>
    </row>
    <row r="68" spans="1:25" ht="15">
      <c r="U68" s="554"/>
      <c r="V68" s="555"/>
      <c r="W68" s="556"/>
      <c r="X68" s="555"/>
      <c r="Y68" s="557"/>
    </row>
    <row r="69" spans="1:25" ht="15">
      <c r="G69" s="697" t="s">
        <v>830</v>
      </c>
      <c r="H69" s="698">
        <v>3500</v>
      </c>
      <c r="I69" s="695"/>
      <c r="J69" s="694"/>
      <c r="K69" s="695"/>
      <c r="M69" s="259" t="s">
        <v>0</v>
      </c>
      <c r="N69" s="260">
        <v>0.6</v>
      </c>
      <c r="O69" s="261" t="s">
        <v>3</v>
      </c>
      <c r="P69" s="261" t="s">
        <v>3</v>
      </c>
      <c r="U69" s="554"/>
      <c r="V69" s="558"/>
      <c r="W69" s="556"/>
      <c r="X69" s="555"/>
      <c r="Y69" s="557"/>
    </row>
    <row r="70" spans="1:25" ht="15">
      <c r="G70" s="548"/>
      <c r="H70" s="694"/>
      <c r="I70" s="695"/>
      <c r="J70" s="694"/>
      <c r="K70" s="695"/>
      <c r="M70" s="21"/>
      <c r="N70" s="23" t="s">
        <v>3</v>
      </c>
      <c r="O70" s="261">
        <f>(1+N69/6)^6</f>
        <v>1.7715610000000008</v>
      </c>
      <c r="P70" s="266">
        <f>O70-1</f>
        <v>0.77156100000000083</v>
      </c>
      <c r="U70" s="559"/>
      <c r="V70" s="560"/>
      <c r="W70" s="556"/>
      <c r="X70" s="561"/>
      <c r="Y70" s="557"/>
    </row>
    <row r="71" spans="1:25" ht="14.25">
      <c r="A71" s="767"/>
      <c r="B71" s="767"/>
      <c r="C71" s="257"/>
      <c r="D71" s="257"/>
      <c r="G71" s="548"/>
      <c r="H71" s="694"/>
      <c r="I71" s="695"/>
      <c r="J71" s="694"/>
      <c r="K71" s="695"/>
      <c r="M71" s="21"/>
      <c r="N71" s="23"/>
    </row>
    <row r="72" spans="1:25">
      <c r="A72" s="257"/>
      <c r="B72" s="767"/>
      <c r="C72" s="257"/>
      <c r="D72" s="257"/>
      <c r="M72" s="21"/>
      <c r="N72" s="39"/>
    </row>
    <row r="73" spans="1:25" ht="14.25">
      <c r="A73" s="257"/>
      <c r="B73" s="767"/>
      <c r="C73" s="257"/>
      <c r="D73" s="257"/>
      <c r="G73" s="932" t="s">
        <v>1026</v>
      </c>
      <c r="H73" s="799"/>
      <c r="I73" s="799"/>
      <c r="J73" s="800"/>
      <c r="K73" s="800"/>
      <c r="M73" s="21"/>
      <c r="N73" s="23"/>
    </row>
    <row r="74" spans="1:25" ht="14.25">
      <c r="A74" s="257"/>
      <c r="B74" s="767"/>
      <c r="C74" s="257"/>
      <c r="D74" s="257"/>
      <c r="G74" s="933" t="s">
        <v>1027</v>
      </c>
      <c r="H74" s="799"/>
      <c r="I74" s="799"/>
      <c r="J74" s="798"/>
      <c r="K74" s="799"/>
    </row>
    <row r="75" spans="1:25" ht="14.25">
      <c r="A75" s="257"/>
      <c r="B75" s="767"/>
      <c r="C75" s="257"/>
      <c r="D75" s="257"/>
      <c r="G75" s="934" t="s">
        <v>1028</v>
      </c>
      <c r="H75" s="799"/>
      <c r="I75" s="799"/>
      <c r="J75" s="798"/>
      <c r="K75" s="799"/>
      <c r="M75" s="1615"/>
      <c r="N75" s="1613"/>
      <c r="O75" s="1613"/>
      <c r="P75" s="1613"/>
      <c r="Q75" s="1614"/>
      <c r="S75" s="769"/>
      <c r="T75" s="254"/>
      <c r="U75" s="254"/>
      <c r="V75" s="254"/>
      <c r="W75" s="254"/>
      <c r="X75" s="254"/>
    </row>
    <row r="76" spans="1:25" ht="14.25">
      <c r="G76" s="933" t="s">
        <v>1029</v>
      </c>
      <c r="H76" s="802"/>
      <c r="I76" s="799"/>
      <c r="J76" s="798"/>
      <c r="K76" s="799"/>
      <c r="M76" s="24"/>
      <c r="N76" s="24"/>
      <c r="O76" s="24"/>
      <c r="P76" s="24"/>
      <c r="Q76" s="24"/>
      <c r="S76" s="254"/>
      <c r="T76" s="254"/>
      <c r="U76" s="254"/>
      <c r="V76" s="254"/>
      <c r="W76" s="254"/>
      <c r="X76" s="254"/>
    </row>
    <row r="77" spans="1:25" ht="14.25">
      <c r="G77" s="935" t="s">
        <v>1030</v>
      </c>
      <c r="H77" s="802"/>
      <c r="I77" s="799"/>
      <c r="J77" s="799"/>
      <c r="K77" s="799"/>
      <c r="M77" s="25"/>
      <c r="N77" s="26"/>
      <c r="O77" s="26"/>
      <c r="P77" s="26"/>
      <c r="Q77" s="26"/>
      <c r="S77" s="254"/>
      <c r="T77" s="254"/>
      <c r="U77" s="254"/>
      <c r="V77" s="254"/>
      <c r="W77" s="254"/>
      <c r="X77" s="254"/>
    </row>
    <row r="78" spans="1:25" ht="14.25">
      <c r="G78" s="936">
        <f>700000/200</f>
        <v>3500</v>
      </c>
      <c r="H78" s="802"/>
      <c r="I78" s="799"/>
      <c r="J78" s="799"/>
      <c r="K78" s="799"/>
      <c r="M78" s="25"/>
      <c r="N78" s="26"/>
      <c r="O78" s="26"/>
      <c r="P78" s="26"/>
      <c r="Q78" s="26"/>
      <c r="S78" s="254"/>
      <c r="T78" s="254"/>
      <c r="U78" s="254"/>
      <c r="V78" s="254"/>
      <c r="W78" s="254"/>
      <c r="X78" s="254"/>
    </row>
    <row r="79" spans="1:25" ht="14.25">
      <c r="G79" s="802"/>
      <c r="H79" s="1031">
        <v>0.06</v>
      </c>
      <c r="I79" s="799"/>
      <c r="J79" s="799"/>
      <c r="K79" s="799"/>
      <c r="M79" s="25"/>
      <c r="N79" s="26"/>
      <c r="O79" s="26"/>
      <c r="P79" s="26"/>
      <c r="Q79" s="26"/>
      <c r="S79" s="254"/>
      <c r="T79" s="254"/>
      <c r="U79" s="254"/>
      <c r="V79" s="254"/>
      <c r="W79" s="254"/>
      <c r="X79" s="254"/>
    </row>
    <row r="80" spans="1:25">
      <c r="G80" s="937">
        <f>600000-50*3500</f>
        <v>425000</v>
      </c>
      <c r="H80" s="1030">
        <f>G80*0.06</f>
        <v>25500</v>
      </c>
      <c r="I80" s="1030"/>
      <c r="J80" s="799"/>
      <c r="K80" s="799"/>
      <c r="M80" s="25"/>
      <c r="N80" s="26"/>
      <c r="O80" s="26"/>
      <c r="P80" s="26"/>
      <c r="Q80" s="26"/>
    </row>
    <row r="81" spans="2:17">
      <c r="G81" s="804">
        <f>150*3500-100000</f>
        <v>425000</v>
      </c>
      <c r="H81" s="799"/>
      <c r="I81" s="799"/>
      <c r="J81" s="799"/>
      <c r="K81" s="799"/>
      <c r="M81" s="25"/>
      <c r="N81" s="26"/>
      <c r="O81" s="26"/>
      <c r="P81" s="26"/>
      <c r="Q81" s="26"/>
    </row>
    <row r="82" spans="2:17">
      <c r="M82" s="766"/>
      <c r="N82" s="26"/>
      <c r="O82" s="26"/>
      <c r="P82" s="26"/>
      <c r="Q82" s="26"/>
    </row>
    <row r="83" spans="2:17" ht="13.5" thickBot="1">
      <c r="M83" s="1785"/>
      <c r="N83" s="1714"/>
      <c r="O83" s="1714"/>
      <c r="P83" s="1714"/>
      <c r="Q83" s="1714"/>
    </row>
    <row r="84" spans="2:17" ht="15" thickBot="1">
      <c r="B84" s="1703" t="s">
        <v>576</v>
      </c>
      <c r="C84" s="1704"/>
      <c r="D84" s="1704"/>
      <c r="E84" s="1704"/>
      <c r="F84" s="1704"/>
      <c r="G84" s="1704"/>
      <c r="H84" s="1704"/>
      <c r="I84" s="1704"/>
      <c r="J84" s="1704"/>
      <c r="K84" s="1705"/>
      <c r="L84" s="384"/>
      <c r="M84" s="384"/>
      <c r="N84" s="2"/>
      <c r="O84" s="2"/>
      <c r="P84" s="2"/>
      <c r="Q84" s="2"/>
    </row>
    <row r="85" spans="2:17" ht="30">
      <c r="B85" s="401" t="s">
        <v>577</v>
      </c>
      <c r="C85" s="402" t="s">
        <v>578</v>
      </c>
      <c r="D85" s="403" t="s">
        <v>579</v>
      </c>
      <c r="E85" s="403" t="s">
        <v>102</v>
      </c>
      <c r="F85" s="403" t="s">
        <v>580</v>
      </c>
      <c r="G85" s="403" t="s">
        <v>581</v>
      </c>
      <c r="H85" s="403" t="s">
        <v>582</v>
      </c>
      <c r="I85" s="404" t="s">
        <v>583</v>
      </c>
      <c r="J85" s="405" t="s">
        <v>584</v>
      </c>
      <c r="K85" s="401" t="s">
        <v>585</v>
      </c>
      <c r="L85" s="384"/>
      <c r="M85" s="401" t="s">
        <v>586</v>
      </c>
      <c r="N85" s="1759" t="s">
        <v>881</v>
      </c>
      <c r="O85" s="1759"/>
      <c r="P85" s="2"/>
      <c r="Q85" s="2"/>
    </row>
    <row r="86" spans="2:17" ht="14.25">
      <c r="B86" s="406" t="s">
        <v>995</v>
      </c>
      <c r="C86" s="524">
        <v>4000</v>
      </c>
      <c r="D86" s="408" t="s">
        <v>519</v>
      </c>
      <c r="E86" s="525"/>
      <c r="F86" s="525">
        <v>0</v>
      </c>
      <c r="G86" s="410">
        <f t="shared" ref="G86:G92" si="0">1-F86</f>
        <v>1</v>
      </c>
      <c r="H86" s="411">
        <f>C86/G86</f>
        <v>4000</v>
      </c>
      <c r="I86" s="408">
        <v>0.22500000000000001</v>
      </c>
      <c r="J86" s="412">
        <f>I86*H86*(1+E86)</f>
        <v>900</v>
      </c>
      <c r="K86" s="1735">
        <f>SUM(J86:J92)</f>
        <v>1145.9000000000001</v>
      </c>
      <c r="L86" s="1717" t="s">
        <v>588</v>
      </c>
      <c r="M86" s="1718">
        <f>SUM(K86,L92)</f>
        <v>1145.9000000000001</v>
      </c>
      <c r="N86" s="1759"/>
      <c r="O86" s="1759"/>
      <c r="P86" s="2"/>
      <c r="Q86" s="2"/>
    </row>
    <row r="87" spans="2:17" ht="14.25">
      <c r="B87" s="406" t="s">
        <v>996</v>
      </c>
      <c r="C87" s="524">
        <v>1000</v>
      </c>
      <c r="D87" s="408" t="s">
        <v>519</v>
      </c>
      <c r="E87" s="525">
        <v>0</v>
      </c>
      <c r="F87" s="525">
        <v>0</v>
      </c>
      <c r="G87" s="410">
        <f t="shared" si="0"/>
        <v>1</v>
      </c>
      <c r="H87" s="411">
        <f t="shared" ref="H87:H92" si="1">C87/G87</f>
        <v>1000</v>
      </c>
      <c r="I87" s="410">
        <v>0.05</v>
      </c>
      <c r="J87" s="412">
        <f>I87*H87*(1+E87)</f>
        <v>50</v>
      </c>
      <c r="K87" s="1736"/>
      <c r="L87" s="1717"/>
      <c r="M87" s="1718"/>
      <c r="N87" s="1759"/>
      <c r="O87" s="1759"/>
      <c r="P87" s="2"/>
      <c r="Q87" s="2"/>
    </row>
    <row r="88" spans="2:17" ht="14.25">
      <c r="B88" s="406" t="s">
        <v>997</v>
      </c>
      <c r="C88" s="524">
        <v>1500</v>
      </c>
      <c r="D88" s="408" t="s">
        <v>591</v>
      </c>
      <c r="E88" s="525"/>
      <c r="F88" s="525"/>
      <c r="G88" s="410">
        <f t="shared" si="0"/>
        <v>1</v>
      </c>
      <c r="H88" s="411">
        <f t="shared" si="1"/>
        <v>1500</v>
      </c>
      <c r="I88" s="408">
        <v>0.115</v>
      </c>
      <c r="J88" s="412">
        <f>I88*H88*(1+E88)</f>
        <v>172.5</v>
      </c>
      <c r="K88" s="1736"/>
      <c r="L88" s="1717"/>
      <c r="M88" s="1718"/>
      <c r="N88" s="1759"/>
      <c r="O88" s="1759"/>
      <c r="P88" s="2"/>
      <c r="Q88" s="2"/>
    </row>
    <row r="89" spans="2:17" ht="14.25">
      <c r="B89" s="406" t="s">
        <v>998</v>
      </c>
      <c r="C89" s="524">
        <v>1000</v>
      </c>
      <c r="D89" s="408" t="s">
        <v>999</v>
      </c>
      <c r="E89" s="525"/>
      <c r="F89" s="525"/>
      <c r="G89" s="410"/>
      <c r="H89" s="411"/>
      <c r="I89" s="408">
        <f>1/100</f>
        <v>0.01</v>
      </c>
      <c r="J89" s="412">
        <f>C89*I89*(1+E89)</f>
        <v>10</v>
      </c>
      <c r="K89" s="1736"/>
      <c r="L89" s="1717"/>
      <c r="M89" s="1718"/>
      <c r="N89" s="1759"/>
      <c r="O89" s="1759"/>
      <c r="P89" s="2"/>
      <c r="Q89" s="2"/>
    </row>
    <row r="90" spans="2:17" ht="14.25">
      <c r="B90" s="406" t="s">
        <v>1000</v>
      </c>
      <c r="C90" s="524">
        <v>170</v>
      </c>
      <c r="D90" s="408" t="s">
        <v>999</v>
      </c>
      <c r="E90" s="525"/>
      <c r="F90" s="525"/>
      <c r="G90" s="410"/>
      <c r="H90" s="411"/>
      <c r="I90" s="408">
        <v>0.02</v>
      </c>
      <c r="J90" s="412">
        <f>C90*I90*(1+E90)</f>
        <v>3.4</v>
      </c>
      <c r="K90" s="1736"/>
      <c r="L90" s="1717"/>
      <c r="M90" s="1718"/>
      <c r="N90" s="1759"/>
      <c r="O90" s="1759"/>
      <c r="P90" s="2"/>
      <c r="Q90" s="2"/>
    </row>
    <row r="91" spans="2:17" ht="14.25">
      <c r="B91" s="406" t="s">
        <v>181</v>
      </c>
      <c r="C91" s="524">
        <v>10</v>
      </c>
      <c r="D91" s="408" t="s">
        <v>1001</v>
      </c>
      <c r="E91" s="525"/>
      <c r="F91" s="525"/>
      <c r="G91" s="410">
        <f t="shared" si="0"/>
        <v>1</v>
      </c>
      <c r="H91" s="411">
        <f t="shared" si="1"/>
        <v>10</v>
      </c>
      <c r="I91" s="408">
        <v>1</v>
      </c>
      <c r="J91" s="412">
        <f>I91*H91*(1+E91)</f>
        <v>10</v>
      </c>
      <c r="K91" s="1736"/>
      <c r="L91" s="1717"/>
      <c r="M91" s="1718"/>
      <c r="N91" s="1759"/>
      <c r="O91" s="1759"/>
      <c r="P91" s="2"/>
      <c r="Q91" s="2"/>
    </row>
    <row r="92" spans="2:17" ht="15.75" thickBot="1">
      <c r="B92" s="414"/>
      <c r="C92" s="530"/>
      <c r="D92" s="416"/>
      <c r="E92" s="531"/>
      <c r="F92" s="531"/>
      <c r="G92" s="410">
        <f t="shared" si="0"/>
        <v>1</v>
      </c>
      <c r="H92" s="411">
        <f t="shared" si="1"/>
        <v>0</v>
      </c>
      <c r="I92" s="416">
        <v>1</v>
      </c>
      <c r="J92" s="412">
        <f>I92*C92*(1+E92)</f>
        <v>0</v>
      </c>
      <c r="K92" s="1737"/>
      <c r="L92" s="532">
        <v>0</v>
      </c>
      <c r="M92" s="1718"/>
      <c r="N92" s="1759"/>
      <c r="O92" s="1759"/>
      <c r="P92" s="2"/>
      <c r="Q92" s="2"/>
    </row>
    <row r="93" spans="2:17" ht="14.25">
      <c r="B93" s="384"/>
      <c r="C93" s="419" t="s">
        <v>595</v>
      </c>
      <c r="D93" s="384"/>
      <c r="E93" s="1719" t="s">
        <v>596</v>
      </c>
      <c r="F93" s="1720"/>
      <c r="I93" s="419" t="s">
        <v>595</v>
      </c>
      <c r="J93" s="384"/>
      <c r="K93" s="384"/>
      <c r="L93" s="419" t="s">
        <v>597</v>
      </c>
      <c r="M93" s="384"/>
      <c r="N93" s="1759"/>
      <c r="O93" s="1759"/>
      <c r="P93" s="2"/>
      <c r="Q93" s="2"/>
    </row>
    <row r="94" spans="2:17">
      <c r="M94" s="2"/>
      <c r="N94" s="2"/>
      <c r="O94" s="2"/>
      <c r="P94" s="2"/>
      <c r="Q94" s="2"/>
    </row>
    <row r="95" spans="2:17">
      <c r="M95" s="2"/>
      <c r="N95" s="2"/>
      <c r="O95" s="2"/>
      <c r="P95" s="2"/>
      <c r="Q95" s="2"/>
    </row>
    <row r="96" spans="2:17" ht="13.5" thickBot="1">
      <c r="M96" s="2"/>
      <c r="N96" s="2"/>
      <c r="O96" s="2"/>
      <c r="P96" s="2"/>
      <c r="Q96" s="2"/>
    </row>
    <row r="97" spans="3:22">
      <c r="D97" s="863" t="s">
        <v>991</v>
      </c>
      <c r="E97" s="864">
        <f>(200000*9*-1)</f>
        <v>-1800000</v>
      </c>
      <c r="F97" s="368" t="s">
        <v>992</v>
      </c>
      <c r="M97" s="2"/>
      <c r="N97" s="2"/>
      <c r="O97" s="2"/>
      <c r="P97" s="2"/>
      <c r="Q97" s="2"/>
    </row>
    <row r="98" spans="3:22" ht="13.5" customHeight="1" thickBot="1">
      <c r="D98" s="865" t="s">
        <v>994</v>
      </c>
      <c r="E98" s="866">
        <f>200000*1.4*4*-1</f>
        <v>-1120000</v>
      </c>
      <c r="F98" s="368" t="s">
        <v>993</v>
      </c>
      <c r="M98" s="4"/>
      <c r="N98" s="5"/>
      <c r="O98" s="5"/>
      <c r="P98" s="5"/>
      <c r="Q98" s="5"/>
    </row>
    <row r="99" spans="3:22">
      <c r="M99" s="4"/>
      <c r="N99" s="5"/>
      <c r="O99" s="5"/>
      <c r="P99" s="5"/>
      <c r="Q99" s="5"/>
    </row>
    <row r="100" spans="3:22">
      <c r="M100" s="4"/>
      <c r="N100" s="5"/>
      <c r="O100" s="5"/>
      <c r="P100" s="5"/>
      <c r="Q100" s="5"/>
    </row>
    <row r="101" spans="3:22">
      <c r="H101" s="254"/>
      <c r="M101" s="4"/>
      <c r="N101" s="5"/>
      <c r="O101" s="5"/>
      <c r="P101" s="5"/>
      <c r="Q101" s="5"/>
    </row>
    <row r="103" spans="3:22">
      <c r="C103" s="272" t="s">
        <v>365</v>
      </c>
      <c r="D103" s="25"/>
      <c r="E103" s="707">
        <f>G63</f>
        <v>25500</v>
      </c>
      <c r="F103" s="707">
        <f>G64</f>
        <v>28050.000000000004</v>
      </c>
      <c r="G103" s="707">
        <f>G65</f>
        <v>30855.000000000007</v>
      </c>
      <c r="H103" s="707">
        <f>G66</f>
        <v>29620.800000000007</v>
      </c>
      <c r="I103" s="707">
        <f>G67</f>
        <v>28435.968000000008</v>
      </c>
      <c r="P103" s="272"/>
      <c r="Q103" s="25"/>
      <c r="R103" s="25"/>
      <c r="S103" s="25"/>
      <c r="T103" s="25"/>
      <c r="U103" s="25"/>
      <c r="V103" s="25"/>
    </row>
    <row r="104" spans="3:22">
      <c r="C104" s="27" t="s">
        <v>361</v>
      </c>
      <c r="D104" s="27" t="s">
        <v>112</v>
      </c>
      <c r="E104" s="27" t="s">
        <v>113</v>
      </c>
      <c r="F104" s="27" t="s">
        <v>114</v>
      </c>
      <c r="G104" s="27" t="s">
        <v>115</v>
      </c>
      <c r="H104" s="27" t="s">
        <v>116</v>
      </c>
      <c r="I104" s="27" t="s">
        <v>117</v>
      </c>
      <c r="P104" s="27"/>
      <c r="Q104" s="27"/>
      <c r="R104" s="27"/>
      <c r="S104" s="27"/>
      <c r="T104" s="27"/>
      <c r="U104" s="27"/>
      <c r="V104" s="27"/>
    </row>
    <row r="105" spans="3:22">
      <c r="C105" s="269" t="s">
        <v>118</v>
      </c>
      <c r="D105" s="270"/>
      <c r="E105" s="270"/>
      <c r="F105" s="270"/>
      <c r="G105" s="270"/>
      <c r="H105" s="270"/>
      <c r="I105" s="270"/>
      <c r="J105" s="378" t="s">
        <v>1090</v>
      </c>
      <c r="P105" s="269"/>
      <c r="Q105" s="270"/>
      <c r="R105" s="270"/>
      <c r="S105" s="270"/>
      <c r="T105" s="270"/>
      <c r="U105" s="270"/>
      <c r="V105" s="270"/>
    </row>
    <row r="106" spans="3:22">
      <c r="C106" s="25" t="s">
        <v>356</v>
      </c>
      <c r="D106" s="752"/>
      <c r="E106" s="752">
        <f>E103*J67</f>
        <v>89250000</v>
      </c>
      <c r="F106" s="752">
        <f>F103*K67</f>
        <v>98175000.000000015</v>
      </c>
      <c r="G106" s="752">
        <f>G103*L67</f>
        <v>107992500.00000003</v>
      </c>
      <c r="H106" s="752">
        <f>H103*M67</f>
        <v>108856440.00000003</v>
      </c>
      <c r="I106" s="752"/>
      <c r="J106" s="806">
        <v>109727291.52000001</v>
      </c>
      <c r="P106" s="25"/>
      <c r="Q106" s="26"/>
      <c r="R106" s="26"/>
      <c r="S106" s="26"/>
      <c r="T106" s="26"/>
      <c r="U106" s="26"/>
      <c r="V106" s="26"/>
    </row>
    <row r="107" spans="3:22">
      <c r="C107" s="25" t="s">
        <v>1089</v>
      </c>
      <c r="D107" s="752"/>
      <c r="E107" s="752"/>
      <c r="F107" s="752"/>
      <c r="G107" s="752"/>
      <c r="H107" s="752"/>
      <c r="I107" s="752">
        <f>J106*0.1</f>
        <v>10972729.152000003</v>
      </c>
      <c r="P107" s="25"/>
      <c r="Q107" s="26"/>
      <c r="R107" s="26"/>
      <c r="S107" s="26"/>
      <c r="T107" s="26"/>
      <c r="U107" s="26"/>
      <c r="V107" s="26"/>
    </row>
    <row r="108" spans="3:22">
      <c r="C108" s="25" t="s">
        <v>1088</v>
      </c>
      <c r="D108" s="752"/>
      <c r="E108" s="752"/>
      <c r="F108" s="752"/>
      <c r="G108" s="752"/>
      <c r="H108" s="752"/>
      <c r="I108" s="752">
        <f>J106-I107</f>
        <v>98754562.368000001</v>
      </c>
      <c r="P108" s="25"/>
      <c r="Q108" s="26"/>
      <c r="R108" s="26"/>
      <c r="S108" s="26"/>
      <c r="T108" s="26"/>
      <c r="U108" s="26"/>
      <c r="V108" s="26"/>
    </row>
    <row r="109" spans="3:22">
      <c r="C109" s="399" t="s">
        <v>867</v>
      </c>
      <c r="D109" s="860"/>
      <c r="E109" s="860">
        <f>200000*1.4*13</f>
        <v>3640000</v>
      </c>
      <c r="F109" s="860">
        <f>200000*1.4*13</f>
        <v>3640000</v>
      </c>
      <c r="G109" s="860">
        <f>200000*1.4*13</f>
        <v>3640000</v>
      </c>
      <c r="H109" s="860">
        <f>200000*1.4*13</f>
        <v>3640000</v>
      </c>
      <c r="I109" s="860">
        <f>200000*1.4*13</f>
        <v>3640000</v>
      </c>
      <c r="J109" s="351" t="s">
        <v>1004</v>
      </c>
      <c r="P109" s="25"/>
      <c r="Q109" s="26"/>
      <c r="R109" s="26"/>
      <c r="S109" s="26"/>
      <c r="T109" s="26"/>
      <c r="U109" s="26"/>
      <c r="V109" s="26"/>
    </row>
    <row r="110" spans="3:22">
      <c r="C110" s="25"/>
      <c r="D110" s="752"/>
      <c r="E110" s="752"/>
      <c r="F110" s="752"/>
      <c r="G110" s="752"/>
      <c r="H110" s="752"/>
      <c r="I110" s="752"/>
      <c r="P110" s="25"/>
      <c r="Q110" s="26"/>
      <c r="R110" s="26"/>
      <c r="S110" s="26"/>
      <c r="T110" s="26"/>
      <c r="U110" s="26"/>
      <c r="V110" s="26"/>
    </row>
    <row r="111" spans="3:22">
      <c r="C111" s="25" t="s">
        <v>1025</v>
      </c>
      <c r="D111" s="752"/>
      <c r="E111" s="752"/>
      <c r="F111" s="752"/>
      <c r="G111" s="752"/>
      <c r="H111" s="752"/>
      <c r="I111" s="753">
        <f>F148*0.2*-1</f>
        <v>1300000</v>
      </c>
      <c r="P111" s="25"/>
      <c r="Q111" s="26"/>
      <c r="R111" s="26"/>
      <c r="S111" s="26"/>
      <c r="T111" s="26"/>
      <c r="U111" s="26"/>
      <c r="V111" s="280"/>
    </row>
    <row r="112" spans="3:22">
      <c r="C112" s="25"/>
      <c r="D112" s="752"/>
      <c r="E112" s="752"/>
      <c r="F112" s="752"/>
      <c r="G112" s="752"/>
      <c r="H112" s="752"/>
      <c r="I112" s="753"/>
      <c r="P112" s="25"/>
      <c r="Q112" s="26"/>
      <c r="R112" s="26"/>
      <c r="S112" s="26"/>
      <c r="T112" s="26"/>
      <c r="U112" s="26"/>
      <c r="V112" s="280"/>
    </row>
    <row r="113" spans="3:22">
      <c r="C113" s="25" t="s">
        <v>774</v>
      </c>
      <c r="D113" s="752"/>
      <c r="E113" s="752"/>
      <c r="F113" s="752"/>
      <c r="G113" s="752"/>
      <c r="H113" s="752"/>
      <c r="I113" s="753"/>
      <c r="J113" s="368" t="s">
        <v>1102</v>
      </c>
      <c r="P113" s="25"/>
      <c r="Q113" s="26"/>
      <c r="R113" s="26"/>
      <c r="S113" s="26"/>
      <c r="T113" s="26"/>
      <c r="U113" s="26"/>
      <c r="V113" s="280"/>
    </row>
    <row r="114" spans="3:22">
      <c r="C114" s="269" t="s">
        <v>121</v>
      </c>
      <c r="D114" s="754"/>
      <c r="E114" s="754"/>
      <c r="F114" s="754"/>
      <c r="G114" s="754"/>
      <c r="H114" s="754"/>
      <c r="I114" s="754"/>
      <c r="J114" s="351" t="s">
        <v>1098</v>
      </c>
      <c r="K114" s="351" t="s">
        <v>1099</v>
      </c>
      <c r="L114" s="351" t="s">
        <v>1100</v>
      </c>
      <c r="P114" s="269"/>
      <c r="Q114" s="270"/>
      <c r="R114" s="270"/>
      <c r="S114" s="270"/>
      <c r="T114" s="270"/>
      <c r="U114" s="270"/>
      <c r="V114" s="270"/>
    </row>
    <row r="115" spans="3:22">
      <c r="C115" s="25" t="s">
        <v>122</v>
      </c>
      <c r="D115" s="752"/>
      <c r="E115" s="254"/>
      <c r="F115" s="254"/>
      <c r="G115" s="254">
        <v>-1294995</v>
      </c>
      <c r="H115" s="254">
        <v>-1221873.7050956599</v>
      </c>
      <c r="I115" s="254">
        <v>-1100192.5582453399</v>
      </c>
      <c r="J115" s="254">
        <v>-897702.96177173196</v>
      </c>
      <c r="K115" s="254">
        <v>-560740.02427999605</v>
      </c>
      <c r="P115" s="25"/>
      <c r="Q115" s="26"/>
      <c r="R115" s="26"/>
      <c r="S115" s="26"/>
      <c r="T115" s="26"/>
      <c r="U115" s="26"/>
      <c r="V115" s="26"/>
    </row>
    <row r="116" spans="3:22">
      <c r="C116" s="47" t="s">
        <v>801</v>
      </c>
      <c r="D116" s="752"/>
      <c r="E116" s="752"/>
      <c r="F116" s="752"/>
      <c r="G116" s="752"/>
      <c r="H116" s="752"/>
      <c r="I116" s="752"/>
      <c r="J116" s="351"/>
      <c r="P116" s="47"/>
      <c r="Q116" s="26"/>
      <c r="R116" s="26"/>
      <c r="S116" s="26"/>
      <c r="T116" s="26"/>
      <c r="U116" s="26"/>
      <c r="V116" s="26"/>
    </row>
    <row r="117" spans="3:22">
      <c r="C117" s="631" t="s">
        <v>1002</v>
      </c>
      <c r="D117" s="752"/>
      <c r="E117" s="752">
        <f>-100000*12</f>
        <v>-1200000</v>
      </c>
      <c r="F117" s="752">
        <f>-100000*12</f>
        <v>-1200000</v>
      </c>
      <c r="G117" s="752">
        <f>-100000*12</f>
        <v>-1200000</v>
      </c>
      <c r="H117" s="752">
        <f>-100000*12</f>
        <v>-1200000</v>
      </c>
      <c r="I117" s="752">
        <f>-100000*12</f>
        <v>-1200000</v>
      </c>
      <c r="P117" s="47"/>
      <c r="Q117" s="26"/>
      <c r="R117" s="26"/>
      <c r="S117" s="26"/>
      <c r="T117" s="26"/>
      <c r="U117" s="26"/>
      <c r="V117" s="26"/>
    </row>
    <row r="118" spans="3:22">
      <c r="C118" s="632" t="s">
        <v>1003</v>
      </c>
      <c r="D118" s="752"/>
      <c r="E118" s="752">
        <f>-1400000*13*1.4</f>
        <v>-25480000</v>
      </c>
      <c r="F118" s="752">
        <f>-1400000*13*1.4</f>
        <v>-25480000</v>
      </c>
      <c r="G118" s="752">
        <f>-1400000*13*1.4</f>
        <v>-25480000</v>
      </c>
      <c r="H118" s="752">
        <f>-1400000*13*1.4</f>
        <v>-25480000</v>
      </c>
      <c r="I118" s="752">
        <f>-1400000*13*1.4</f>
        <v>-25480000</v>
      </c>
      <c r="J118" s="351" t="s">
        <v>1005</v>
      </c>
      <c r="P118" s="47"/>
      <c r="Q118" s="26"/>
      <c r="R118" s="26"/>
      <c r="S118" s="26"/>
      <c r="T118" s="26"/>
      <c r="U118" s="26"/>
      <c r="V118" s="26"/>
    </row>
    <row r="119" spans="3:22">
      <c r="C119" s="47" t="s">
        <v>802</v>
      </c>
      <c r="D119" s="752"/>
      <c r="E119" s="752"/>
      <c r="F119" s="752"/>
      <c r="G119" s="752"/>
      <c r="H119" s="752"/>
      <c r="I119" s="752"/>
      <c r="P119" s="47"/>
      <c r="Q119" s="26"/>
      <c r="R119" s="26"/>
      <c r="S119" s="26"/>
      <c r="T119" s="26"/>
      <c r="U119" s="26"/>
      <c r="V119" s="26"/>
    </row>
    <row r="120" spans="3:22" ht="15.75" customHeight="1">
      <c r="C120" s="287" t="s">
        <v>803</v>
      </c>
      <c r="D120" s="752"/>
      <c r="E120" s="752"/>
      <c r="F120" s="752"/>
      <c r="G120" s="752"/>
      <c r="H120" s="752"/>
      <c r="I120" s="752"/>
      <c r="P120" s="287"/>
      <c r="Q120" s="26"/>
      <c r="R120" s="26"/>
      <c r="S120" s="26"/>
      <c r="T120" s="26"/>
      <c r="U120" s="26"/>
      <c r="V120" s="26"/>
    </row>
    <row r="121" spans="3:22" ht="15.75" customHeight="1">
      <c r="C121" s="199" t="s">
        <v>1079</v>
      </c>
      <c r="D121" s="752"/>
      <c r="E121" s="752">
        <f>-E103*$K$86</f>
        <v>-29220450.000000004</v>
      </c>
      <c r="F121" s="752">
        <f>-F103*$K$86</f>
        <v>-32142495.000000007</v>
      </c>
      <c r="G121" s="752">
        <f>-G103*$K$86</f>
        <v>-35356744.500000007</v>
      </c>
      <c r="H121" s="752">
        <f>-H103*$K$86</f>
        <v>-33942474.720000014</v>
      </c>
      <c r="I121" s="752">
        <f>-I103*$K$86</f>
        <v>-32584775.731200013</v>
      </c>
      <c r="J121" s="351"/>
      <c r="P121" s="199"/>
      <c r="Q121" s="26"/>
      <c r="R121" s="26"/>
      <c r="S121" s="26"/>
      <c r="T121" s="26"/>
      <c r="U121" s="26"/>
      <c r="V121" s="26"/>
    </row>
    <row r="122" spans="3:22" ht="15.75" customHeight="1">
      <c r="C122" s="199" t="s">
        <v>1091</v>
      </c>
      <c r="D122" s="752"/>
      <c r="E122" s="752"/>
      <c r="F122" s="752"/>
      <c r="G122" s="752"/>
      <c r="H122" s="752"/>
      <c r="I122" s="752">
        <f>I107*0.01*-1</f>
        <v>-109727.29152000003</v>
      </c>
      <c r="P122" s="199"/>
      <c r="Q122" s="26"/>
      <c r="R122" s="26"/>
      <c r="S122" s="26"/>
      <c r="T122" s="26"/>
      <c r="U122" s="26"/>
      <c r="V122" s="26"/>
    </row>
    <row r="123" spans="3:22" ht="15.75" customHeight="1">
      <c r="E123" s="752"/>
      <c r="F123" s="752"/>
      <c r="G123" s="752"/>
      <c r="H123" s="752"/>
      <c r="I123" s="752"/>
      <c r="P123" s="199"/>
      <c r="Q123" s="26"/>
      <c r="R123" s="26"/>
      <c r="S123" s="26"/>
      <c r="T123" s="26"/>
      <c r="U123" s="26"/>
      <c r="V123" s="26"/>
    </row>
    <row r="124" spans="3:22" ht="15.75" customHeight="1">
      <c r="C124" s="199" t="s">
        <v>1092</v>
      </c>
      <c r="D124" s="752"/>
      <c r="E124" s="752">
        <f>E106*0.035*-1</f>
        <v>-3123750.0000000005</v>
      </c>
      <c r="F124" s="752">
        <f>F106*0.035*-1</f>
        <v>-3436125.0000000009</v>
      </c>
      <c r="G124" s="752">
        <f>G106*0.035*-1</f>
        <v>-3779737.5000000014</v>
      </c>
      <c r="H124" s="752">
        <f>H106*0.035*-1</f>
        <v>-3809975.4000000013</v>
      </c>
      <c r="I124" s="752">
        <f>I108*0.035*-1</f>
        <v>-3456409.6828800002</v>
      </c>
      <c r="P124" s="199"/>
      <c r="Q124" s="26"/>
      <c r="R124" s="26"/>
      <c r="S124" s="26"/>
      <c r="T124" s="26"/>
      <c r="U124" s="26"/>
      <c r="V124" s="26"/>
    </row>
    <row r="125" spans="3:22" ht="15.75" customHeight="1">
      <c r="C125" s="199" t="s">
        <v>1093</v>
      </c>
      <c r="D125" s="752"/>
      <c r="E125" s="752"/>
      <c r="F125" s="752"/>
      <c r="G125" s="752"/>
      <c r="H125" s="752"/>
      <c r="I125" s="752">
        <f>I107*0.02*-1</f>
        <v>-219454.58304000006</v>
      </c>
      <c r="P125" s="199"/>
      <c r="Q125" s="26"/>
      <c r="R125" s="26"/>
      <c r="S125" s="26"/>
      <c r="T125" s="26"/>
      <c r="U125" s="26"/>
      <c r="V125" s="26"/>
    </row>
    <row r="126" spans="3:22" ht="15.75" customHeight="1">
      <c r="C126" s="199" t="s">
        <v>1111</v>
      </c>
      <c r="D126" s="752"/>
      <c r="E126" s="752">
        <f>E106*0.3*0.05*-1</f>
        <v>-1338750</v>
      </c>
      <c r="F126" s="752">
        <f>F106*0.3*0.05*-1</f>
        <v>-1472625.0000000002</v>
      </c>
      <c r="G126" s="752">
        <f>G106*0.3*0.05*-1</f>
        <v>-1619887.5000000005</v>
      </c>
      <c r="H126" s="752">
        <f>H106*0.3*0.05*-1</f>
        <v>-1632846.6000000006</v>
      </c>
      <c r="I126" s="752">
        <f>(I107+I108)*0.3*0.05*-1</f>
        <v>-1645909.3728</v>
      </c>
      <c r="P126" s="199"/>
      <c r="Q126" s="26"/>
      <c r="R126" s="26"/>
      <c r="S126" s="26"/>
      <c r="T126" s="26"/>
      <c r="U126" s="26"/>
      <c r="V126" s="26"/>
    </row>
    <row r="127" spans="3:22" ht="15.75" customHeight="1">
      <c r="C127" s="199" t="s">
        <v>766</v>
      </c>
      <c r="D127" s="752"/>
      <c r="E127" s="752"/>
      <c r="F127" s="752"/>
      <c r="G127" s="752"/>
      <c r="H127" s="752"/>
      <c r="I127" s="752"/>
      <c r="P127" s="199"/>
      <c r="Q127" s="26"/>
      <c r="R127" s="26"/>
      <c r="S127" s="26"/>
      <c r="T127" s="26"/>
      <c r="U127" s="26"/>
      <c r="V127" s="26"/>
    </row>
    <row r="128" spans="3:22">
      <c r="C128" s="267" t="s">
        <v>125</v>
      </c>
      <c r="D128" s="755"/>
      <c r="E128" s="755"/>
      <c r="F128" s="755"/>
      <c r="G128" s="755"/>
      <c r="H128" s="755"/>
      <c r="I128" s="755"/>
      <c r="P128" s="267"/>
      <c r="Q128" s="268"/>
      <c r="R128" s="268"/>
      <c r="S128" s="268"/>
      <c r="T128" s="268"/>
      <c r="U128" s="268"/>
      <c r="V128" s="268"/>
    </row>
    <row r="129" spans="3:22">
      <c r="C129" s="25" t="s">
        <v>1006</v>
      </c>
      <c r="D129" s="752"/>
      <c r="E129" s="752">
        <f>-100000*12</f>
        <v>-1200000</v>
      </c>
      <c r="F129" s="752">
        <f>-100000*12</f>
        <v>-1200000</v>
      </c>
      <c r="G129" s="752"/>
      <c r="H129" s="752"/>
      <c r="I129" s="752"/>
      <c r="J129" s="1746"/>
      <c r="K129" s="1747"/>
      <c r="L129" s="1747"/>
      <c r="M129" s="1747"/>
      <c r="P129" s="25"/>
      <c r="Q129" s="26"/>
      <c r="R129" s="26"/>
      <c r="S129" s="26"/>
      <c r="T129" s="26"/>
      <c r="U129" s="26"/>
      <c r="V129" s="26"/>
    </row>
    <row r="130" spans="3:22">
      <c r="C130" s="25" t="s">
        <v>1087</v>
      </c>
      <c r="D130" s="752"/>
      <c r="E130" s="752"/>
      <c r="F130" s="752"/>
      <c r="G130" s="752">
        <f>$F$148/5</f>
        <v>-1300000</v>
      </c>
      <c r="H130" s="752">
        <f>$F$148/5</f>
        <v>-1300000</v>
      </c>
      <c r="I130" s="752">
        <f>$F$148/5</f>
        <v>-1300000</v>
      </c>
      <c r="P130" s="25"/>
      <c r="Q130" s="26"/>
      <c r="R130" s="26"/>
      <c r="S130" s="26"/>
      <c r="T130" s="26"/>
      <c r="U130" s="26"/>
      <c r="V130" s="26"/>
    </row>
    <row r="131" spans="3:22">
      <c r="C131" s="25" t="s">
        <v>871</v>
      </c>
      <c r="D131" s="752"/>
      <c r="E131" s="752"/>
      <c r="F131" s="752"/>
      <c r="G131" s="752"/>
      <c r="H131" s="752"/>
      <c r="I131" s="752"/>
      <c r="P131" s="25"/>
      <c r="Q131" s="26"/>
      <c r="R131" s="26"/>
      <c r="S131" s="26"/>
      <c r="T131" s="26"/>
      <c r="U131" s="26"/>
      <c r="V131" s="26"/>
    </row>
    <row r="132" spans="3:22">
      <c r="C132" s="25" t="s">
        <v>773</v>
      </c>
      <c r="D132" s="752"/>
      <c r="E132" s="752"/>
      <c r="F132" s="752"/>
      <c r="G132" s="752"/>
      <c r="H132" s="752"/>
      <c r="I132" s="752"/>
      <c r="P132" s="25"/>
      <c r="Q132" s="26"/>
      <c r="R132" s="26"/>
      <c r="S132" s="26"/>
      <c r="T132" s="26"/>
      <c r="U132" s="26"/>
      <c r="V132" s="26"/>
    </row>
    <row r="133" spans="3:22">
      <c r="C133" s="25" t="s">
        <v>787</v>
      </c>
      <c r="D133" s="752"/>
      <c r="E133" s="752"/>
      <c r="F133" s="752"/>
      <c r="G133" s="752"/>
      <c r="H133" s="752"/>
      <c r="I133" s="756"/>
      <c r="P133" s="25"/>
      <c r="Q133" s="26"/>
      <c r="R133" s="26"/>
      <c r="S133" s="26"/>
      <c r="T133" s="26"/>
      <c r="U133" s="26"/>
      <c r="V133" s="26"/>
    </row>
    <row r="134" spans="3:22">
      <c r="C134" s="25" t="s">
        <v>768</v>
      </c>
      <c r="D134" s="752"/>
      <c r="E134" s="752"/>
      <c r="F134" s="752"/>
      <c r="G134" s="752"/>
      <c r="H134" s="752"/>
      <c r="I134" s="756">
        <f>(F148*-1-((G130+H130+I130)*-1))*-1</f>
        <v>-2600000</v>
      </c>
      <c r="P134" s="25"/>
      <c r="Q134" s="26"/>
      <c r="R134" s="26"/>
      <c r="S134" s="26"/>
      <c r="T134" s="26"/>
      <c r="U134" s="26"/>
      <c r="V134" s="26"/>
    </row>
    <row r="135" spans="3:22">
      <c r="C135" s="25" t="s">
        <v>872</v>
      </c>
      <c r="D135" s="752"/>
      <c r="E135" s="752"/>
      <c r="F135" s="752"/>
      <c r="G135" s="752"/>
      <c r="H135" s="757"/>
      <c r="I135" s="758"/>
      <c r="P135" s="25"/>
      <c r="Q135" s="26"/>
      <c r="R135" s="26"/>
      <c r="S135" s="26"/>
      <c r="T135" s="26"/>
      <c r="U135" s="26"/>
      <c r="V135" s="26"/>
    </row>
    <row r="136" spans="3:22">
      <c r="C136" s="25" t="s">
        <v>873</v>
      </c>
      <c r="D136" s="752"/>
      <c r="E136" s="752"/>
      <c r="F136" s="752"/>
      <c r="G136" s="752"/>
      <c r="H136" s="752"/>
      <c r="I136" s="759"/>
      <c r="P136" s="25"/>
      <c r="Q136" s="26"/>
      <c r="R136" s="26"/>
      <c r="S136" s="26"/>
      <c r="T136" s="26"/>
      <c r="U136" s="26"/>
      <c r="V136" s="26"/>
    </row>
    <row r="137" spans="3:22">
      <c r="C137" s="25" t="s">
        <v>781</v>
      </c>
      <c r="D137" s="752"/>
      <c r="E137" s="752"/>
      <c r="F137" s="752"/>
      <c r="G137" s="752"/>
      <c r="H137" s="752"/>
      <c r="I137" s="759"/>
      <c r="P137" s="25"/>
      <c r="Q137" s="26"/>
      <c r="R137" s="26"/>
      <c r="S137" s="26"/>
      <c r="T137" s="26"/>
      <c r="U137" s="26"/>
      <c r="V137" s="26"/>
    </row>
    <row r="138" spans="3:22">
      <c r="C138" s="25" t="s">
        <v>786</v>
      </c>
      <c r="D138" s="752"/>
      <c r="E138" s="752"/>
      <c r="F138" s="752"/>
      <c r="G138" s="752"/>
      <c r="H138" s="752"/>
      <c r="I138" s="759"/>
      <c r="P138" s="25"/>
      <c r="Q138" s="26"/>
      <c r="R138" s="26"/>
      <c r="S138" s="26"/>
      <c r="T138" s="26"/>
      <c r="U138" s="26"/>
      <c r="V138" s="26"/>
    </row>
    <row r="139" spans="3:22" ht="14.25">
      <c r="C139" s="31" t="s">
        <v>130</v>
      </c>
      <c r="D139" s="760"/>
      <c r="E139" s="760">
        <f>SUM(E106:E138)</f>
        <v>31327050</v>
      </c>
      <c r="F139" s="760">
        <f>SUM(F106:F138)</f>
        <v>36883755.000000007</v>
      </c>
      <c r="G139" s="760">
        <f>SUM(G106:G138)</f>
        <v>41601135.500000022</v>
      </c>
      <c r="H139" s="760">
        <f>SUM(H106:H138)</f>
        <v>43909269.574904352</v>
      </c>
      <c r="I139" s="760">
        <f>SUM(I106:I138)</f>
        <v>44970822.300314657</v>
      </c>
      <c r="K139" s="259"/>
      <c r="L139" s="259"/>
      <c r="M139" s="259"/>
      <c r="P139" s="31"/>
      <c r="Q139" s="32"/>
      <c r="R139" s="32"/>
      <c r="S139" s="32"/>
      <c r="T139" s="32"/>
      <c r="U139" s="32"/>
      <c r="V139" s="32"/>
    </row>
    <row r="140" spans="3:22">
      <c r="C140" s="33" t="s">
        <v>349</v>
      </c>
      <c r="D140" s="752"/>
      <c r="E140" s="752">
        <f>E139*0.35</f>
        <v>10964467.5</v>
      </c>
      <c r="F140" s="752">
        <f>F139*0.35</f>
        <v>12909314.250000002</v>
      </c>
      <c r="G140" s="752">
        <f>G139*0.35</f>
        <v>14560397.425000006</v>
      </c>
      <c r="H140" s="752">
        <f>H139*0.35</f>
        <v>15368244.351216523</v>
      </c>
      <c r="I140" s="752">
        <f>I139*0.35</f>
        <v>15739787.805110129</v>
      </c>
      <c r="K140" s="276"/>
      <c r="L140" s="259"/>
      <c r="M140" s="259"/>
      <c r="P140" s="33"/>
      <c r="Q140" s="26"/>
      <c r="R140" s="26"/>
      <c r="S140" s="26"/>
      <c r="T140" s="26"/>
      <c r="U140" s="26"/>
      <c r="V140" s="26"/>
    </row>
    <row r="141" spans="3:22" ht="28.5">
      <c r="C141" s="34" t="s">
        <v>132</v>
      </c>
      <c r="D141" s="761"/>
      <c r="E141" s="761">
        <f>E139-E140</f>
        <v>20362582.5</v>
      </c>
      <c r="F141" s="761">
        <f>F139-F140</f>
        <v>23974440.750000007</v>
      </c>
      <c r="G141" s="761">
        <f>G139-G140</f>
        <v>27040738.075000018</v>
      </c>
      <c r="H141" s="761">
        <f>H139-H140</f>
        <v>28541025.223687828</v>
      </c>
      <c r="I141" s="761">
        <f>I139-I140</f>
        <v>29231034.495204531</v>
      </c>
      <c r="P141" s="34"/>
      <c r="Q141" s="35"/>
      <c r="R141" s="35"/>
      <c r="S141" s="35"/>
      <c r="T141" s="35"/>
      <c r="U141" s="35"/>
      <c r="V141" s="35"/>
    </row>
    <row r="142" spans="3:22">
      <c r="C142" s="33" t="s">
        <v>133</v>
      </c>
      <c r="D142" s="756"/>
      <c r="E142" s="756">
        <f>SUM(E129:E138)*-1</f>
        <v>1200000</v>
      </c>
      <c r="F142" s="756">
        <f>SUM(F129:F138)*-1</f>
        <v>1200000</v>
      </c>
      <c r="G142" s="756">
        <f>SUM(G129:G138)*-1</f>
        <v>1300000</v>
      </c>
      <c r="H142" s="756">
        <f>SUM(H129:H138)*-1</f>
        <v>1300000</v>
      </c>
      <c r="I142" s="756">
        <f>SUM(I129:I138)*-1</f>
        <v>3900000</v>
      </c>
      <c r="P142" s="33"/>
      <c r="Q142" s="26"/>
      <c r="R142" s="26"/>
      <c r="S142" s="26"/>
      <c r="T142" s="26"/>
      <c r="U142" s="26"/>
      <c r="V142" s="26"/>
    </row>
    <row r="143" spans="3:22">
      <c r="C143" s="751" t="s">
        <v>202</v>
      </c>
      <c r="D143" s="254">
        <v>-1912500</v>
      </c>
      <c r="E143" s="254">
        <v>-191250.00000000017</v>
      </c>
      <c r="F143" s="254">
        <v>-210375.00000000017</v>
      </c>
      <c r="G143" s="763"/>
      <c r="H143" s="763"/>
      <c r="I143" s="764"/>
      <c r="K143" s="351" t="s">
        <v>1101</v>
      </c>
      <c r="P143" s="284"/>
      <c r="Q143" s="26"/>
      <c r="R143" s="26"/>
      <c r="S143" s="26"/>
      <c r="T143" s="26"/>
      <c r="U143" s="26"/>
    </row>
    <row r="144" spans="3:22">
      <c r="C144" s="25" t="s">
        <v>1024</v>
      </c>
      <c r="D144" s="884"/>
      <c r="E144" s="1034"/>
      <c r="F144" s="1034"/>
      <c r="G144" s="816">
        <v>-110105.849878546</v>
      </c>
      <c r="H144" s="816">
        <v>-183227.144782888</v>
      </c>
      <c r="I144" s="816">
        <v>-304908.29163320397</v>
      </c>
      <c r="J144" s="368" t="s">
        <v>1102</v>
      </c>
      <c r="K144" s="439">
        <v>304908.29163320363</v>
      </c>
      <c r="P144" s="25"/>
      <c r="R144" s="26"/>
      <c r="S144" s="26"/>
      <c r="T144" s="26"/>
      <c r="U144" s="26"/>
      <c r="V144" s="26"/>
    </row>
    <row r="145" spans="1:23">
      <c r="C145" s="25" t="s">
        <v>1009</v>
      </c>
      <c r="D145" s="752" t="s">
        <v>1008</v>
      </c>
      <c r="E145" s="759"/>
      <c r="F145" s="759">
        <f>F148*0.4*-1</f>
        <v>2600000</v>
      </c>
      <c r="G145" s="759"/>
      <c r="H145" s="759"/>
      <c r="I145" s="759"/>
      <c r="K145" s="439">
        <v>507397.88810681412</v>
      </c>
      <c r="P145" s="286"/>
      <c r="R145" s="26"/>
      <c r="S145" s="26"/>
      <c r="T145" s="26"/>
      <c r="U145" s="26"/>
      <c r="V145" s="26"/>
    </row>
    <row r="146" spans="1:23">
      <c r="C146" s="25" t="s">
        <v>1010</v>
      </c>
      <c r="D146" s="752"/>
      <c r="E146" s="752"/>
      <c r="F146" s="752">
        <f>F148*0.3*-1</f>
        <v>1950000</v>
      </c>
      <c r="G146" s="752"/>
      <c r="H146" s="756"/>
      <c r="I146" s="752"/>
      <c r="K146" s="439">
        <v>844360.82559854945</v>
      </c>
      <c r="P146" s="286"/>
      <c r="R146" s="5"/>
      <c r="S146" s="5"/>
      <c r="T146" s="5"/>
      <c r="U146" s="5"/>
      <c r="V146" s="26"/>
    </row>
    <row r="147" spans="1:23">
      <c r="C147" s="25" t="s">
        <v>858</v>
      </c>
      <c r="D147" s="752"/>
      <c r="E147" s="752"/>
      <c r="F147" s="752"/>
      <c r="G147" s="752"/>
      <c r="H147" s="756"/>
      <c r="I147" s="752"/>
      <c r="P147" s="286"/>
      <c r="Q147" s="26"/>
      <c r="V147" s="26"/>
    </row>
    <row r="148" spans="1:23">
      <c r="C148" s="25" t="s">
        <v>1007</v>
      </c>
      <c r="D148" s="752"/>
      <c r="E148" s="752"/>
      <c r="F148" s="752">
        <f>-6500000</f>
        <v>-6500000</v>
      </c>
      <c r="G148" s="757"/>
      <c r="H148" s="758"/>
      <c r="I148" s="765"/>
      <c r="P148" s="286"/>
      <c r="Q148" s="26"/>
      <c r="R148" s="26"/>
      <c r="S148" s="26"/>
      <c r="T148" s="26"/>
      <c r="U148" s="26"/>
      <c r="V148" s="26"/>
    </row>
    <row r="149" spans="1:23">
      <c r="A149" s="1810" t="s">
        <v>1119</v>
      </c>
      <c r="B149" s="1747"/>
      <c r="C149" s="199" t="s">
        <v>864</v>
      </c>
      <c r="D149" s="752">
        <f>E97+E98</f>
        <v>-2920000</v>
      </c>
      <c r="E149" s="752"/>
      <c r="F149" s="752"/>
      <c r="G149" s="757"/>
      <c r="H149" s="758"/>
      <c r="I149" s="765"/>
      <c r="P149" s="286"/>
      <c r="Q149" s="26"/>
      <c r="R149" s="26"/>
      <c r="S149" s="26"/>
      <c r="T149" s="26"/>
      <c r="U149" s="26"/>
      <c r="V149" s="26"/>
    </row>
    <row r="150" spans="1:23">
      <c r="C150" s="25" t="s">
        <v>785</v>
      </c>
      <c r="D150" s="752"/>
      <c r="E150" s="752"/>
      <c r="F150" s="752"/>
      <c r="G150" s="757"/>
      <c r="H150" s="758"/>
      <c r="I150" s="765"/>
      <c r="P150" s="286"/>
      <c r="Q150" s="26"/>
      <c r="R150" s="26"/>
      <c r="S150" s="26"/>
      <c r="T150" s="26"/>
      <c r="U150" s="26"/>
      <c r="V150" s="26"/>
    </row>
    <row r="151" spans="1:23">
      <c r="C151" s="286" t="s">
        <v>412</v>
      </c>
      <c r="D151" s="752"/>
      <c r="E151" s="752"/>
      <c r="F151" s="752"/>
      <c r="G151" s="752"/>
      <c r="H151" s="759"/>
      <c r="I151" s="752">
        <f>(D143+E143+F143)*-1</f>
        <v>2314125</v>
      </c>
      <c r="J151" s="298" t="s">
        <v>29</v>
      </c>
      <c r="P151" s="286"/>
      <c r="Q151" s="26"/>
      <c r="R151" s="26"/>
      <c r="S151" s="26"/>
      <c r="T151" s="26"/>
      <c r="U151" s="26"/>
      <c r="V151" s="26"/>
    </row>
    <row r="152" spans="1:23" ht="14.25">
      <c r="C152" s="37" t="s">
        <v>139</v>
      </c>
      <c r="D152" s="761">
        <f>SUM(D142:D151)</f>
        <v>-4832500</v>
      </c>
      <c r="E152" s="761">
        <f>SUM(E141:E151)</f>
        <v>21371332.5</v>
      </c>
      <c r="F152" s="761">
        <f>SUM(F141:F151)</f>
        <v>23014065.750000007</v>
      </c>
      <c r="G152" s="761">
        <f>SUM(G141:G151)</f>
        <v>28230632.225121472</v>
      </c>
      <c r="H152" s="761">
        <f>SUM(H141:H151)</f>
        <v>29657798.078904938</v>
      </c>
      <c r="I152" s="761">
        <f>SUM(I141:I151)</f>
        <v>35140251.203571327</v>
      </c>
      <c r="J152" s="790">
        <f>NPV(C174,E152:I152)+D152</f>
        <v>75186705.81026879</v>
      </c>
      <c r="P152" s="37"/>
      <c r="Q152" s="35"/>
      <c r="R152" s="35"/>
      <c r="S152" s="35"/>
      <c r="T152" s="35"/>
      <c r="U152" s="35"/>
      <c r="V152" s="35"/>
      <c r="W152" s="297"/>
    </row>
    <row r="153" spans="1:23">
      <c r="C153" s="3"/>
      <c r="E153" s="5"/>
      <c r="F153" s="5"/>
      <c r="G153" s="5"/>
      <c r="H153" s="5"/>
      <c r="I153" t="s">
        <v>1113</v>
      </c>
    </row>
    <row r="155" spans="1:23" ht="20.25">
      <c r="E155" s="297"/>
      <c r="F155" s="1040"/>
      <c r="G155" s="662"/>
      <c r="H155" s="662"/>
      <c r="I155" s="662"/>
      <c r="J155" s="259"/>
      <c r="K155" s="275"/>
      <c r="L155" s="259"/>
    </row>
    <row r="156" spans="1:23" ht="20.25">
      <c r="F156" s="1040">
        <v>2</v>
      </c>
      <c r="G156" s="1809" t="s">
        <v>1107</v>
      </c>
      <c r="H156" s="1809"/>
      <c r="I156" s="1809"/>
      <c r="J156" s="1809"/>
      <c r="K156" s="1809"/>
      <c r="L156" s="1809"/>
    </row>
    <row r="157" spans="1:23" ht="29.25" customHeight="1">
      <c r="F157" s="1040"/>
      <c r="G157" s="1809" t="s">
        <v>1106</v>
      </c>
      <c r="H157" s="1809"/>
      <c r="I157" s="1809"/>
      <c r="J157" s="1809"/>
      <c r="K157" s="1809"/>
      <c r="L157" s="1809"/>
      <c r="N157" s="299"/>
      <c r="O157" s="299"/>
      <c r="P157" s="299"/>
      <c r="Q157" s="299"/>
    </row>
    <row r="158" spans="1:23" ht="20.25">
      <c r="F158" s="1040"/>
      <c r="G158" s="662"/>
      <c r="H158" s="662"/>
      <c r="I158" s="662"/>
      <c r="J158" s="259"/>
      <c r="K158" s="259"/>
      <c r="L158" s="259"/>
      <c r="N158" s="299"/>
      <c r="O158" s="299"/>
      <c r="P158" s="299"/>
      <c r="Q158" s="299"/>
    </row>
    <row r="159" spans="1:23" ht="20.25">
      <c r="F159" s="662"/>
      <c r="G159" s="662"/>
      <c r="H159" s="662"/>
      <c r="I159" s="662"/>
      <c r="J159" s="259"/>
      <c r="K159" s="259"/>
      <c r="L159" s="259"/>
      <c r="N159" s="299"/>
      <c r="O159" s="299"/>
      <c r="P159" s="299"/>
      <c r="Q159" s="299"/>
    </row>
    <row r="160" spans="1:23" ht="20.25">
      <c r="C160" s="254"/>
      <c r="F160" s="662"/>
      <c r="G160" s="662"/>
      <c r="H160" s="662"/>
      <c r="I160" s="662"/>
      <c r="J160" s="259"/>
      <c r="K160" s="259"/>
      <c r="L160" s="259"/>
      <c r="N160" s="299"/>
      <c r="O160" s="299"/>
      <c r="P160" s="299"/>
      <c r="Q160" s="299"/>
    </row>
    <row r="161" spans="2:17" ht="20.25">
      <c r="C161" s="254"/>
      <c r="F161" s="662"/>
      <c r="G161" s="662"/>
      <c r="H161" s="662"/>
      <c r="I161" s="662"/>
      <c r="J161" s="259"/>
      <c r="K161" s="1041"/>
      <c r="L161" s="1041"/>
      <c r="M161" s="299"/>
      <c r="N161" s="299"/>
    </row>
    <row r="162" spans="2:17">
      <c r="C162" s="254"/>
      <c r="K162" s="299"/>
      <c r="L162" s="299"/>
      <c r="M162" s="299"/>
      <c r="N162" s="299"/>
    </row>
    <row r="163" spans="2:17">
      <c r="C163" s="254"/>
      <c r="K163" s="299"/>
      <c r="L163" s="299"/>
      <c r="M163" s="299"/>
      <c r="N163" s="299"/>
    </row>
    <row r="164" spans="2:17">
      <c r="C164" s="254"/>
      <c r="G164" s="25"/>
      <c r="H164" s="25" t="s">
        <v>483</v>
      </c>
      <c r="I164" s="25" t="s">
        <v>484</v>
      </c>
      <c r="K164" s="299"/>
      <c r="L164" s="299"/>
      <c r="M164" s="299"/>
      <c r="N164" s="299"/>
    </row>
    <row r="165" spans="2:17">
      <c r="G165" s="25" t="s">
        <v>485</v>
      </c>
      <c r="H165" s="343"/>
      <c r="I165" s="134"/>
      <c r="K165" s="299"/>
      <c r="L165" s="299"/>
      <c r="M165" s="299"/>
      <c r="N165" s="299"/>
    </row>
    <row r="166" spans="2:17">
      <c r="G166" s="25" t="s">
        <v>486</v>
      </c>
      <c r="H166" s="343"/>
      <c r="I166" s="134"/>
      <c r="N166" s="299"/>
      <c r="O166" s="299"/>
      <c r="P166" s="299"/>
      <c r="Q166" s="299"/>
    </row>
    <row r="167" spans="2:17">
      <c r="G167" s="25" t="s">
        <v>487</v>
      </c>
      <c r="H167" s="343"/>
      <c r="I167" s="134"/>
      <c r="N167" s="299"/>
      <c r="O167" s="299"/>
      <c r="P167" s="299"/>
      <c r="Q167" s="299"/>
    </row>
    <row r="168" spans="2:17">
      <c r="G168" s="271" t="s">
        <v>150</v>
      </c>
      <c r="H168" s="344"/>
      <c r="I168" s="25"/>
      <c r="J168" t="e">
        <f>H165*I165/(H165+H166)</f>
        <v>#DIV/0!</v>
      </c>
      <c r="N168" s="299"/>
      <c r="O168" s="299"/>
      <c r="P168" s="299"/>
      <c r="Q168" s="299"/>
    </row>
    <row r="169" spans="2:17">
      <c r="N169" s="299"/>
      <c r="O169" s="299"/>
      <c r="P169" s="299"/>
      <c r="Q169" s="299"/>
    </row>
    <row r="170" spans="2:17" ht="15">
      <c r="G170" s="345" t="s">
        <v>488</v>
      </c>
      <c r="H170" s="346"/>
      <c r="I170" t="s">
        <v>498</v>
      </c>
      <c r="N170" s="299"/>
      <c r="O170" s="299"/>
      <c r="P170" s="299"/>
      <c r="Q170" s="299"/>
    </row>
    <row r="171" spans="2:17" ht="15">
      <c r="G171" s="345" t="s">
        <v>489</v>
      </c>
      <c r="H171" s="346">
        <v>0.75</v>
      </c>
      <c r="I171" s="347" t="s">
        <v>490</v>
      </c>
    </row>
    <row r="172" spans="2:17" ht="15">
      <c r="G172" s="345" t="s">
        <v>491</v>
      </c>
      <c r="H172" s="346">
        <v>0.25</v>
      </c>
      <c r="I172" s="347" t="s">
        <v>492</v>
      </c>
    </row>
    <row r="173" spans="2:17" ht="15.75" thickBot="1">
      <c r="G173" s="345" t="s">
        <v>493</v>
      </c>
      <c r="H173" s="346"/>
      <c r="I173" t="s">
        <v>494</v>
      </c>
      <c r="N173" s="304"/>
      <c r="O173" s="352"/>
    </row>
    <row r="174" spans="2:17" ht="15">
      <c r="B174" s="40" t="s">
        <v>140</v>
      </c>
      <c r="C174" s="285">
        <f>C182*C176+C183*(1-C180)*C181</f>
        <v>0.19234999999999999</v>
      </c>
      <c r="D174" s="351" t="s">
        <v>1105</v>
      </c>
      <c r="G174" s="345" t="s">
        <v>495</v>
      </c>
      <c r="H174" s="346"/>
      <c r="I174" t="s">
        <v>496</v>
      </c>
      <c r="N174" s="305"/>
      <c r="O174" s="353"/>
    </row>
    <row r="175" spans="2:17" ht="15.75" thickBot="1">
      <c r="B175" s="42" t="s">
        <v>141</v>
      </c>
      <c r="C175" s="43" t="s">
        <v>142</v>
      </c>
    </row>
    <row r="176" spans="2:17" ht="15.75" thickBot="1">
      <c r="B176" s="44" t="s">
        <v>143</v>
      </c>
      <c r="C176" s="573">
        <f>C177+C178*(C179-C177)</f>
        <v>0.26</v>
      </c>
      <c r="G176" s="348" t="s">
        <v>497</v>
      </c>
      <c r="H176" s="349">
        <f>H170*H171+H173*H172*(1-H174)</f>
        <v>0</v>
      </c>
    </row>
    <row r="177" spans="2:15" ht="15">
      <c r="B177" s="44" t="s">
        <v>144</v>
      </c>
      <c r="C177" s="821">
        <v>0.05</v>
      </c>
      <c r="D177" s="785" t="s">
        <v>889</v>
      </c>
    </row>
    <row r="178" spans="2:15" ht="18.75" thickBot="1">
      <c r="B178" s="47" t="s">
        <v>7</v>
      </c>
      <c r="C178" s="1035">
        <v>1.4</v>
      </c>
      <c r="D178" s="786" t="s">
        <v>886</v>
      </c>
      <c r="I178" s="350" t="s">
        <v>502</v>
      </c>
    </row>
    <row r="179" spans="2:15" ht="18">
      <c r="B179" s="47" t="s">
        <v>146</v>
      </c>
      <c r="C179" s="1036">
        <v>0.2</v>
      </c>
      <c r="D179" s="4" t="s">
        <v>890</v>
      </c>
      <c r="I179" s="350" t="s">
        <v>883</v>
      </c>
    </row>
    <row r="180" spans="2:15" ht="18">
      <c r="B180" s="47" t="s">
        <v>148</v>
      </c>
      <c r="C180" s="1036">
        <v>0.35</v>
      </c>
      <c r="D180" s="4" t="s">
        <v>891</v>
      </c>
      <c r="I180" s="350" t="s">
        <v>884</v>
      </c>
    </row>
    <row r="181" spans="2:15" ht="18">
      <c r="B181" s="47" t="s">
        <v>150</v>
      </c>
      <c r="C181" s="1036">
        <f>P200</f>
        <v>0.1398076923076923</v>
      </c>
      <c r="D181" s="4"/>
      <c r="I181" s="350" t="s">
        <v>885</v>
      </c>
    </row>
    <row r="182" spans="2:15">
      <c r="B182" s="47" t="s">
        <v>152</v>
      </c>
      <c r="C182" s="1036">
        <v>0.6</v>
      </c>
      <c r="D182" s="4"/>
      <c r="E182" s="4"/>
      <c r="F182" s="4"/>
    </row>
    <row r="183" spans="2:15" ht="13.5" thickBot="1">
      <c r="B183" s="50" t="s">
        <v>154</v>
      </c>
      <c r="C183" s="1039">
        <v>0.4</v>
      </c>
      <c r="D183" s="4"/>
      <c r="E183" s="4"/>
      <c r="F183" s="4"/>
    </row>
    <row r="185" spans="2:15" ht="15.75">
      <c r="B185" s="570" t="s">
        <v>143</v>
      </c>
      <c r="C185" s="571">
        <f>C187+C186*(C188-C187)</f>
        <v>0.41000000000000003</v>
      </c>
      <c r="D185" t="s">
        <v>744</v>
      </c>
      <c r="L185" s="579"/>
    </row>
    <row r="186" spans="2:15" ht="14.25">
      <c r="B186" s="570" t="s">
        <v>745</v>
      </c>
      <c r="C186" s="491">
        <v>1.8</v>
      </c>
      <c r="D186" t="s">
        <v>746</v>
      </c>
    </row>
    <row r="187" spans="2:15" ht="14.25">
      <c r="B187" s="570" t="s">
        <v>144</v>
      </c>
      <c r="C187" s="572">
        <v>0.05</v>
      </c>
      <c r="D187" t="s">
        <v>747</v>
      </c>
      <c r="N187" s="580">
        <f>L200</f>
        <v>5200000</v>
      </c>
      <c r="O187" s="208">
        <v>1</v>
      </c>
    </row>
    <row r="188" spans="2:15" ht="14.25">
      <c r="B188" s="570" t="s">
        <v>146</v>
      </c>
      <c r="C188" s="572">
        <v>0.25</v>
      </c>
      <c r="N188" s="580">
        <f>L197</f>
        <v>1200000</v>
      </c>
      <c r="O188" s="581">
        <f>(N188*O187)/N187</f>
        <v>0.23076923076923078</v>
      </c>
    </row>
    <row r="190" spans="2:15">
      <c r="N190" s="580">
        <f>L200</f>
        <v>5200000</v>
      </c>
      <c r="O190" s="208">
        <v>1</v>
      </c>
    </row>
    <row r="191" spans="2:15" ht="14.25">
      <c r="B191" s="570"/>
      <c r="C191" s="574"/>
      <c r="D191" s="574"/>
      <c r="E191" s="574"/>
      <c r="F191" s="574"/>
      <c r="G191" s="574"/>
      <c r="H191" s="574"/>
      <c r="N191" s="582">
        <f>L198</f>
        <v>3000000</v>
      </c>
      <c r="O191" s="583">
        <f>(N191*O190)/N190</f>
        <v>0.57692307692307687</v>
      </c>
    </row>
    <row r="192" spans="2:15">
      <c r="C192" s="303"/>
      <c r="D192" s="303"/>
      <c r="E192" s="303"/>
      <c r="F192" s="303"/>
      <c r="G192" s="303"/>
      <c r="H192" s="303"/>
    </row>
    <row r="193" spans="2:17">
      <c r="C193" s="303"/>
      <c r="D193" s="303"/>
      <c r="E193" s="303"/>
      <c r="F193" s="303"/>
      <c r="G193" s="303"/>
      <c r="H193" s="303"/>
      <c r="L193" t="s">
        <v>751</v>
      </c>
      <c r="N193" s="580">
        <f>L200</f>
        <v>5200000</v>
      </c>
      <c r="O193" s="208">
        <v>1</v>
      </c>
    </row>
    <row r="194" spans="2:17" ht="14.25">
      <c r="C194" s="575"/>
      <c r="D194" s="576"/>
      <c r="E194" s="574"/>
      <c r="F194" s="584"/>
      <c r="G194" s="576"/>
      <c r="H194" s="576"/>
      <c r="N194" s="582">
        <f>L199</f>
        <v>1000000</v>
      </c>
      <c r="O194" s="585">
        <f>(N194*O193)/N193</f>
        <v>0.19230769230769232</v>
      </c>
    </row>
    <row r="196" spans="2:17" ht="14.25">
      <c r="L196" s="570" t="s">
        <v>752</v>
      </c>
      <c r="N196" s="576" t="s">
        <v>1103</v>
      </c>
    </row>
    <row r="197" spans="2:17" ht="14.25">
      <c r="B197" s="570"/>
      <c r="C197" s="578"/>
      <c r="L197" s="582">
        <v>1200000</v>
      </c>
      <c r="N197" s="1038">
        <v>0.11</v>
      </c>
      <c r="O197" s="586">
        <f>L197/$L$200</f>
        <v>0.23076923076923078</v>
      </c>
      <c r="P197" s="578">
        <f>N197*O197</f>
        <v>2.5384615384615387E-2</v>
      </c>
    </row>
    <row r="198" spans="2:17" ht="15" thickBot="1">
      <c r="L198" s="582">
        <v>3000000</v>
      </c>
      <c r="N198" s="1038">
        <v>0.115</v>
      </c>
      <c r="O198" s="587">
        <f>L198/$L$200</f>
        <v>0.57692307692307687</v>
      </c>
      <c r="P198" s="578">
        <f>N198*O198</f>
        <v>6.6346153846153846E-2</v>
      </c>
    </row>
    <row r="199" spans="2:17" ht="15" thickBot="1">
      <c r="C199" s="1782" t="s">
        <v>888</v>
      </c>
      <c r="D199" s="1783"/>
      <c r="E199" s="1783"/>
      <c r="F199" s="1783"/>
      <c r="G199" s="1783"/>
      <c r="H199" s="1783"/>
      <c r="I199" s="1784"/>
      <c r="L199" s="588">
        <v>1000000</v>
      </c>
      <c r="N199" s="1038">
        <v>0.25</v>
      </c>
      <c r="O199" s="590">
        <f>L199/$L$200</f>
        <v>0.19230769230769232</v>
      </c>
      <c r="P199" s="578">
        <f>N199*O199</f>
        <v>4.807692307692308E-2</v>
      </c>
    </row>
    <row r="200" spans="2:17" ht="15">
      <c r="C200" s="772" t="s">
        <v>143</v>
      </c>
      <c r="D200" s="773">
        <f>D202+D201*(D203-D202)</f>
        <v>0.41000000000000003</v>
      </c>
      <c r="E200" s="774" t="s">
        <v>744</v>
      </c>
      <c r="F200" s="774"/>
      <c r="G200" s="774"/>
      <c r="H200" s="774"/>
      <c r="I200" s="775"/>
      <c r="L200" s="582">
        <f>SUM(L197:L199)</f>
        <v>5200000</v>
      </c>
      <c r="N200" s="491"/>
      <c r="P200" s="591">
        <f>SUM(P197:P199)</f>
        <v>0.1398076923076923</v>
      </c>
      <c r="Q200" s="368" t="s">
        <v>1104</v>
      </c>
    </row>
    <row r="201" spans="2:17" ht="14.25">
      <c r="C201" s="776" t="s">
        <v>745</v>
      </c>
      <c r="D201" s="777">
        <v>1.8</v>
      </c>
      <c r="E201" s="257" t="s">
        <v>746</v>
      </c>
      <c r="F201" s="257"/>
      <c r="G201" s="257"/>
      <c r="H201" s="257"/>
      <c r="I201" s="778"/>
      <c r="N201" s="491"/>
    </row>
    <row r="202" spans="2:17" ht="14.25">
      <c r="C202" s="776" t="s">
        <v>144</v>
      </c>
      <c r="D202" s="779">
        <v>0.05</v>
      </c>
      <c r="E202" s="257" t="s">
        <v>747</v>
      </c>
      <c r="F202" s="257"/>
      <c r="G202" s="257"/>
      <c r="H202" s="257"/>
      <c r="I202" s="778"/>
    </row>
    <row r="203" spans="2:17" ht="14.25">
      <c r="C203" s="776" t="s">
        <v>146</v>
      </c>
      <c r="D203" s="779">
        <v>0.25</v>
      </c>
      <c r="E203" s="257"/>
      <c r="F203" s="257"/>
      <c r="G203" s="257"/>
      <c r="H203" s="257"/>
      <c r="I203" s="778"/>
      <c r="L203" s="548"/>
      <c r="M203" s="548"/>
      <c r="N203" s="548"/>
    </row>
    <row r="204" spans="2:17" ht="13.5" thickBot="1">
      <c r="C204" s="780"/>
      <c r="D204" s="781"/>
      <c r="E204" s="781"/>
      <c r="F204" s="781"/>
      <c r="G204" s="781"/>
      <c r="H204" s="781"/>
      <c r="I204" s="782"/>
      <c r="M204" s="787"/>
      <c r="N204" s="788"/>
    </row>
    <row r="205" spans="2:17">
      <c r="M205" s="787"/>
    </row>
    <row r="206" spans="2:17" ht="14.25">
      <c r="M206" s="789"/>
    </row>
  </sheetData>
  <mergeCells count="22">
    <mergeCell ref="M45:O45"/>
    <mergeCell ref="A149:B149"/>
    <mergeCell ref="A2:B12"/>
    <mergeCell ref="M30:N30"/>
    <mergeCell ref="O35:S35"/>
    <mergeCell ref="M41:O41"/>
    <mergeCell ref="M42:O42"/>
    <mergeCell ref="J129:M129"/>
    <mergeCell ref="V66:Y66"/>
    <mergeCell ref="M75:Q75"/>
    <mergeCell ref="M83:Q83"/>
    <mergeCell ref="B84:K84"/>
    <mergeCell ref="N85:O93"/>
    <mergeCell ref="K86:K92"/>
    <mergeCell ref="L86:L91"/>
    <mergeCell ref="M86:M92"/>
    <mergeCell ref="E93:F93"/>
    <mergeCell ref="C199:I199"/>
    <mergeCell ref="I61:N61"/>
    <mergeCell ref="G156:L156"/>
    <mergeCell ref="G157:L157"/>
    <mergeCell ref="D61:D67"/>
  </mergeCells>
  <conditionalFormatting sqref="G63:K63">
    <cfRule type="containsText" dxfId="16"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AD78A-807B-4451-B9DB-A13E7ABB2AC0}">
  <dimension ref="A2:Y207"/>
  <sheetViews>
    <sheetView topLeftCell="A19" zoomScale="85" zoomScaleNormal="85" workbookViewId="0">
      <selection activeCell="I61" sqref="I61:N61"/>
    </sheetView>
  </sheetViews>
  <sheetFormatPr defaultRowHeight="12.75"/>
  <cols>
    <col min="1" max="1" width="13.140625" customWidth="1"/>
    <col min="2" max="2" width="16.42578125" customWidth="1"/>
    <col min="3" max="3" width="35.42578125" bestFit="1" customWidth="1"/>
    <col min="4" max="4" width="51.85546875" customWidth="1"/>
    <col min="5" max="5" width="19.5703125" customWidth="1"/>
    <col min="6" max="6" width="29.28515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v>4500000</v>
      </c>
      <c r="N13" s="597" t="s">
        <v>506</v>
      </c>
      <c r="O13" s="351"/>
    </row>
    <row r="14" spans="1:15">
      <c r="M14" s="596">
        <f>M13/1.21</f>
        <v>3719008.26446281</v>
      </c>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11:21">
      <c r="M34" s="351"/>
    </row>
    <row r="35" spans="11:21">
      <c r="O35" s="1755"/>
      <c r="P35" s="1714"/>
      <c r="Q35" s="1714"/>
      <c r="R35" s="1714"/>
      <c r="S35" s="1714"/>
    </row>
    <row r="36" spans="11:21">
      <c r="O36" s="700"/>
      <c r="P36" s="700"/>
      <c r="Q36" s="700"/>
      <c r="R36" s="700"/>
      <c r="S36" s="700"/>
    </row>
    <row r="37" spans="11:21">
      <c r="O37" s="702"/>
      <c r="P37" s="702"/>
      <c r="Q37" s="702"/>
      <c r="R37" s="702"/>
      <c r="S37" s="702"/>
    </row>
    <row r="39" spans="11:21" ht="15.75">
      <c r="K39" s="1037" t="s">
        <v>1095</v>
      </c>
      <c r="L39" s="1037"/>
      <c r="M39" s="1037"/>
      <c r="N39" s="1037"/>
      <c r="O39" s="1037"/>
    </row>
    <row r="40" spans="11:21" ht="15.75">
      <c r="K40" s="1037" t="s">
        <v>1096</v>
      </c>
      <c r="L40" s="1037"/>
      <c r="M40" s="1037"/>
      <c r="N40" s="1037"/>
      <c r="O40" s="1037"/>
    </row>
    <row r="41" spans="11:21" ht="15.75">
      <c r="K41" s="1037"/>
      <c r="L41" s="1037"/>
      <c r="M41" s="1811"/>
      <c r="N41" s="1811"/>
      <c r="O41" s="1811"/>
      <c r="P41" s="701"/>
      <c r="Q41" s="701"/>
      <c r="R41" s="701"/>
      <c r="S41" s="701"/>
      <c r="T41" s="300"/>
      <c r="U41" s="301"/>
    </row>
    <row r="42" spans="11:21">
      <c r="M42" s="1755"/>
      <c r="N42" s="1714"/>
      <c r="O42" s="1714"/>
    </row>
    <row r="43" spans="11:21">
      <c r="M43" s="700"/>
      <c r="N43" s="700"/>
      <c r="O43" s="700"/>
    </row>
    <row r="44" spans="11:21">
      <c r="M44" s="703"/>
      <c r="N44" s="702"/>
      <c r="O44" s="702"/>
    </row>
    <row r="45" spans="11:21">
      <c r="M45" s="1755"/>
      <c r="N45" s="1714"/>
      <c r="O45" s="1714"/>
    </row>
    <row r="46" spans="11:21">
      <c r="M46" s="700"/>
      <c r="N46" s="701"/>
      <c r="O46" s="701"/>
    </row>
    <row r="47" spans="11:21">
      <c r="M47" s="700"/>
      <c r="N47" s="701"/>
      <c r="O47" s="701"/>
    </row>
    <row r="48" spans="11: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M57" s="731" t="s">
        <v>832</v>
      </c>
      <c r="N57" s="583"/>
      <c r="U57" s="4"/>
      <c r="V57" s="547"/>
      <c r="W57" s="548"/>
    </row>
    <row r="58" spans="4:23" ht="14.25">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c r="E61" s="677"/>
      <c r="F61" s="730"/>
      <c r="G61" s="408" t="s">
        <v>825</v>
      </c>
      <c r="I61" s="1807" t="s">
        <v>1528</v>
      </c>
      <c r="J61" s="1808"/>
      <c r="K61" s="1808"/>
      <c r="L61" s="1808"/>
      <c r="M61" s="1808"/>
      <c r="N61" s="1808"/>
      <c r="O61" s="702"/>
      <c r="U61" s="4"/>
      <c r="V61" s="4"/>
    </row>
    <row r="62" spans="4:23" ht="15" thickBot="1">
      <c r="D62" s="1788"/>
      <c r="E62" s="680"/>
      <c r="F62" s="681"/>
      <c r="G62" s="708">
        <f>F62*F61</f>
        <v>0</v>
      </c>
      <c r="I62" s="408"/>
      <c r="J62" s="408">
        <v>1</v>
      </c>
      <c r="K62" s="408">
        <v>2</v>
      </c>
      <c r="L62" s="408">
        <v>3</v>
      </c>
      <c r="M62" s="699">
        <v>4</v>
      </c>
      <c r="N62" s="699">
        <v>5</v>
      </c>
      <c r="U62" s="4"/>
      <c r="V62" s="4"/>
    </row>
    <row r="63" spans="4:23" ht="14.25">
      <c r="D63" s="1789"/>
      <c r="E63" s="682" t="s">
        <v>451</v>
      </c>
      <c r="F63" s="683"/>
      <c r="G63" s="684">
        <v>25500</v>
      </c>
      <c r="H63" s="768"/>
      <c r="I63" s="408" t="s">
        <v>827</v>
      </c>
      <c r="J63" s="408">
        <v>1</v>
      </c>
      <c r="K63" s="685">
        <v>1</v>
      </c>
      <c r="L63" s="685">
        <v>1</v>
      </c>
      <c r="M63" s="685">
        <v>-0.8</v>
      </c>
      <c r="N63" s="685">
        <v>-0.8</v>
      </c>
      <c r="O63" s="736" t="s">
        <v>835</v>
      </c>
      <c r="P63" s="585"/>
      <c r="Q63" s="585"/>
      <c r="R63" s="585"/>
      <c r="S63" s="585"/>
      <c r="T63" s="585"/>
      <c r="U63" s="4"/>
      <c r="V63" s="549"/>
    </row>
    <row r="64" spans="4:23" ht="14.25">
      <c r="D64" s="1789"/>
      <c r="E64" s="686" t="s">
        <v>632</v>
      </c>
      <c r="F64" s="687"/>
      <c r="G64" s="688">
        <f>G63*1.1</f>
        <v>28050.000000000004</v>
      </c>
      <c r="H64" s="768"/>
      <c r="I64" s="408" t="s">
        <v>177</v>
      </c>
      <c r="J64" s="735">
        <f>G63</f>
        <v>25500</v>
      </c>
      <c r="K64" s="735">
        <f>G64</f>
        <v>28050.000000000004</v>
      </c>
      <c r="L64" s="735">
        <f>G65</f>
        <v>30855.000000000007</v>
      </c>
      <c r="M64" s="735">
        <f>G66</f>
        <v>29620.800000000007</v>
      </c>
      <c r="N64" s="735">
        <f>G67</f>
        <v>28435.968000000008</v>
      </c>
      <c r="O64" s="351"/>
    </row>
    <row r="65" spans="1:25" ht="14.25">
      <c r="D65" s="1789"/>
      <c r="E65" s="686" t="s">
        <v>793</v>
      </c>
      <c r="F65" s="687"/>
      <c r="G65" s="688">
        <f>G64*1.1</f>
        <v>30855.000000000007</v>
      </c>
      <c r="H65" s="768"/>
      <c r="I65" s="689" t="s">
        <v>828</v>
      </c>
      <c r="J65" s="408"/>
      <c r="K65" s="408">
        <f>(K64-J64)/J64</f>
        <v>0.10000000000000014</v>
      </c>
      <c r="L65" s="408">
        <f>(L64-K64)/K64</f>
        <v>0.10000000000000012</v>
      </c>
      <c r="M65" s="408">
        <f>(M64-L64)/L64</f>
        <v>-4.0000000000000015E-2</v>
      </c>
      <c r="N65" s="408">
        <f>(N64-M64)/M64</f>
        <v>-3.9999999999999938E-2</v>
      </c>
      <c r="O65" s="351" t="s">
        <v>1071</v>
      </c>
    </row>
    <row r="66" spans="1:25" ht="15">
      <c r="D66" s="1789"/>
      <c r="E66" s="686" t="s">
        <v>794</v>
      </c>
      <c r="F66" s="687"/>
      <c r="G66" s="688">
        <f>G65-G65*0.04</f>
        <v>29620.800000000007</v>
      </c>
      <c r="H66" s="768"/>
      <c r="I66" s="689" t="s">
        <v>829</v>
      </c>
      <c r="J66" s="408"/>
      <c r="K66" s="408">
        <f>K65/K63</f>
        <v>0.10000000000000014</v>
      </c>
      <c r="L66" s="408">
        <f>L65/L63</f>
        <v>0.10000000000000012</v>
      </c>
      <c r="M66" s="408">
        <f>M65/M63</f>
        <v>5.0000000000000017E-2</v>
      </c>
      <c r="N66" s="408">
        <f>N65/N63</f>
        <v>4.999999999999992E-2</v>
      </c>
      <c r="U66" s="550"/>
      <c r="V66" s="1748"/>
      <c r="W66" s="1749"/>
      <c r="X66" s="1749"/>
      <c r="Y66" s="1750"/>
    </row>
    <row r="67" spans="1:25" ht="15.75" thickBot="1">
      <c r="D67" s="1790"/>
      <c r="E67" s="690" t="s">
        <v>795</v>
      </c>
      <c r="F67" s="691"/>
      <c r="G67" s="688">
        <f>G66-G66*0.04</f>
        <v>28435.968000000008</v>
      </c>
      <c r="H67" s="768"/>
      <c r="I67" s="680" t="s">
        <v>220</v>
      </c>
      <c r="J67" s="693">
        <f>H69</f>
        <v>3500</v>
      </c>
      <c r="K67" s="693">
        <v>3500</v>
      </c>
      <c r="L67" s="692">
        <v>3500</v>
      </c>
      <c r="M67" s="692">
        <f>L67*(1+M66)</f>
        <v>3675</v>
      </c>
      <c r="N67" s="692">
        <f>M67*(1+N66)</f>
        <v>3858.7499999999995</v>
      </c>
      <c r="O67" s="351" t="s">
        <v>1077</v>
      </c>
      <c r="U67" s="551"/>
      <c r="V67" s="552"/>
      <c r="W67" s="552"/>
      <c r="X67" s="552"/>
      <c r="Y67" s="553"/>
    </row>
    <row r="68" spans="1:25" ht="15">
      <c r="U68" s="554"/>
      <c r="V68" s="555"/>
      <c r="W68" s="556"/>
      <c r="X68" s="555"/>
      <c r="Y68" s="557"/>
    </row>
    <row r="69" spans="1:25" ht="15">
      <c r="G69" s="697" t="s">
        <v>830</v>
      </c>
      <c r="H69" s="698">
        <v>3500</v>
      </c>
      <c r="I69" s="695"/>
      <c r="J69" s="694"/>
      <c r="K69" s="695"/>
      <c r="M69" s="259" t="s">
        <v>0</v>
      </c>
      <c r="N69" s="260">
        <v>0.6</v>
      </c>
      <c r="O69" s="261" t="s">
        <v>3</v>
      </c>
      <c r="P69" s="261" t="s">
        <v>3</v>
      </c>
      <c r="U69" s="554"/>
      <c r="V69" s="558"/>
      <c r="W69" s="556"/>
      <c r="X69" s="555"/>
      <c r="Y69" s="557"/>
    </row>
    <row r="70" spans="1:25" ht="15">
      <c r="G70" s="548"/>
      <c r="H70" s="694"/>
      <c r="I70" s="695"/>
      <c r="J70" s="694"/>
      <c r="K70" s="695"/>
      <c r="M70" s="21"/>
      <c r="N70" s="23" t="s">
        <v>3</v>
      </c>
      <c r="O70" s="261">
        <f>(1+N69/6)^6</f>
        <v>1.7715610000000008</v>
      </c>
      <c r="P70" s="266">
        <f>O70-1</f>
        <v>0.77156100000000083</v>
      </c>
      <c r="U70" s="559"/>
      <c r="V70" s="560"/>
      <c r="W70" s="556"/>
      <c r="X70" s="561"/>
      <c r="Y70" s="557"/>
    </row>
    <row r="71" spans="1:25" ht="14.25">
      <c r="A71" s="767"/>
      <c r="B71" s="767"/>
      <c r="C71" s="257"/>
      <c r="D71" s="257"/>
      <c r="G71" s="548"/>
      <c r="H71" s="694"/>
      <c r="I71" s="695"/>
      <c r="J71" s="694"/>
      <c r="K71" s="695"/>
      <c r="M71" s="21"/>
      <c r="N71" s="23"/>
    </row>
    <row r="72" spans="1:25">
      <c r="A72" s="257"/>
      <c r="B72" s="767"/>
      <c r="C72" s="257"/>
      <c r="D72" s="257"/>
      <c r="M72" s="21"/>
      <c r="N72" s="39"/>
    </row>
    <row r="73" spans="1:25" ht="14.25">
      <c r="A73" s="257"/>
      <c r="B73" s="767"/>
      <c r="C73" s="257"/>
      <c r="D73" s="257"/>
      <c r="G73" s="932" t="s">
        <v>1026</v>
      </c>
      <c r="H73" s="799"/>
      <c r="I73" s="799"/>
      <c r="J73" s="800"/>
      <c r="K73" s="800"/>
      <c r="M73" s="21"/>
      <c r="N73" s="23"/>
    </row>
    <row r="74" spans="1:25" ht="14.25">
      <c r="A74" s="257"/>
      <c r="B74" s="767"/>
      <c r="C74" s="257"/>
      <c r="D74" s="257"/>
      <c r="G74" s="933" t="s">
        <v>1027</v>
      </c>
      <c r="H74" s="799"/>
      <c r="I74" s="799"/>
      <c r="J74" s="798"/>
      <c r="K74" s="799"/>
    </row>
    <row r="75" spans="1:25" ht="14.25">
      <c r="A75" s="257"/>
      <c r="B75" s="767"/>
      <c r="C75" s="257"/>
      <c r="D75" s="257"/>
      <c r="G75" s="934" t="s">
        <v>1028</v>
      </c>
      <c r="H75" s="799"/>
      <c r="I75" s="799"/>
      <c r="J75" s="798"/>
      <c r="K75" s="799"/>
      <c r="M75" s="1615"/>
      <c r="N75" s="1613"/>
      <c r="O75" s="1613"/>
      <c r="P75" s="1613"/>
      <c r="Q75" s="1614"/>
      <c r="S75" s="769"/>
      <c r="T75" s="254"/>
      <c r="U75" s="254"/>
      <c r="V75" s="254"/>
      <c r="W75" s="254"/>
      <c r="X75" s="254"/>
    </row>
    <row r="76" spans="1:25" ht="14.25">
      <c r="G76" s="933" t="s">
        <v>1029</v>
      </c>
      <c r="H76" s="802"/>
      <c r="I76" s="799"/>
      <c r="J76" s="798"/>
      <c r="K76" s="799"/>
      <c r="M76" s="24"/>
      <c r="N76" s="24"/>
      <c r="O76" s="24"/>
      <c r="P76" s="24"/>
      <c r="Q76" s="24"/>
      <c r="S76" s="254"/>
      <c r="T76" s="254"/>
      <c r="U76" s="254"/>
      <c r="V76" s="254"/>
      <c r="W76" s="254"/>
      <c r="X76" s="254"/>
    </row>
    <row r="77" spans="1:25" ht="14.25">
      <c r="G77" s="935" t="s">
        <v>1030</v>
      </c>
      <c r="H77" s="802"/>
      <c r="I77" s="799"/>
      <c r="J77" s="799"/>
      <c r="K77" s="799"/>
      <c r="M77" s="25"/>
      <c r="N77" s="26"/>
      <c r="O77" s="26"/>
      <c r="P77" s="26"/>
      <c r="Q77" s="26"/>
      <c r="S77" s="254"/>
      <c r="T77" s="254"/>
      <c r="U77" s="254"/>
      <c r="V77" s="254"/>
      <c r="W77" s="254"/>
      <c r="X77" s="254"/>
    </row>
    <row r="78" spans="1:25" ht="14.25">
      <c r="G78" s="936">
        <f>700000/200</f>
        <v>3500</v>
      </c>
      <c r="H78" s="802"/>
      <c r="I78" s="799"/>
      <c r="J78" s="799"/>
      <c r="K78" s="799"/>
      <c r="M78" s="25"/>
      <c r="N78" s="26"/>
      <c r="O78" s="26"/>
      <c r="P78" s="26"/>
      <c r="Q78" s="26"/>
      <c r="S78" s="254"/>
      <c r="T78" s="254"/>
      <c r="U78" s="254"/>
      <c r="V78" s="254"/>
      <c r="W78" s="254"/>
      <c r="X78" s="254"/>
    </row>
    <row r="79" spans="1:25" ht="14.25">
      <c r="G79" s="802"/>
      <c r="H79" s="1031">
        <v>0.06</v>
      </c>
      <c r="I79" s="799"/>
      <c r="J79" s="799"/>
      <c r="K79" s="799"/>
      <c r="M79" s="25"/>
      <c r="N79" s="26"/>
      <c r="O79" s="26"/>
      <c r="P79" s="26"/>
      <c r="Q79" s="26"/>
      <c r="S79" s="254"/>
      <c r="T79" s="254"/>
      <c r="U79" s="254"/>
      <c r="V79" s="254"/>
      <c r="W79" s="254"/>
      <c r="X79" s="254"/>
    </row>
    <row r="80" spans="1:25">
      <c r="G80" s="937">
        <f>600000-50*3500</f>
        <v>425000</v>
      </c>
      <c r="H80" s="1030">
        <f>G80*0.06</f>
        <v>25500</v>
      </c>
      <c r="I80" s="1030"/>
      <c r="J80" s="799"/>
      <c r="K80" s="799"/>
      <c r="M80" s="25"/>
      <c r="N80" s="26"/>
      <c r="O80" s="26"/>
      <c r="P80" s="26"/>
      <c r="Q80" s="26"/>
    </row>
    <row r="81" spans="2:17">
      <c r="G81" s="804">
        <f>150*3500-100000</f>
        <v>425000</v>
      </c>
      <c r="H81" s="799"/>
      <c r="I81" s="799"/>
      <c r="J81" s="799"/>
      <c r="K81" s="799"/>
      <c r="M81" s="25"/>
      <c r="N81" s="26"/>
      <c r="O81" s="26"/>
      <c r="P81" s="26"/>
      <c r="Q81" s="26"/>
    </row>
    <row r="82" spans="2:17">
      <c r="M82" s="766"/>
      <c r="N82" s="26"/>
      <c r="O82" s="26"/>
      <c r="P82" s="26"/>
      <c r="Q82" s="26"/>
    </row>
    <row r="83" spans="2:17" ht="13.5" thickBot="1">
      <c r="M83" s="1785"/>
      <c r="N83" s="1714"/>
      <c r="O83" s="1714"/>
      <c r="P83" s="1714"/>
      <c r="Q83" s="1714"/>
    </row>
    <row r="84" spans="2:17" ht="15" thickBot="1">
      <c r="B84" s="1703" t="s">
        <v>576</v>
      </c>
      <c r="C84" s="1704"/>
      <c r="D84" s="1704"/>
      <c r="E84" s="1704"/>
      <c r="F84" s="1704"/>
      <c r="G84" s="1704"/>
      <c r="H84" s="1704"/>
      <c r="I84" s="1704"/>
      <c r="J84" s="1704"/>
      <c r="K84" s="1705"/>
      <c r="L84" s="384"/>
      <c r="M84" s="384"/>
      <c r="N84" s="2"/>
      <c r="O84" s="2"/>
      <c r="P84" s="2"/>
      <c r="Q84" s="2"/>
    </row>
    <row r="85" spans="2:17" ht="30">
      <c r="B85" s="401" t="s">
        <v>577</v>
      </c>
      <c r="C85" s="402" t="s">
        <v>578</v>
      </c>
      <c r="D85" s="403" t="s">
        <v>579</v>
      </c>
      <c r="E85" s="403" t="s">
        <v>102</v>
      </c>
      <c r="F85" s="403" t="s">
        <v>580</v>
      </c>
      <c r="G85" s="403" t="s">
        <v>581</v>
      </c>
      <c r="H85" s="403" t="s">
        <v>582</v>
      </c>
      <c r="I85" s="404" t="s">
        <v>583</v>
      </c>
      <c r="J85" s="405" t="s">
        <v>584</v>
      </c>
      <c r="K85" s="401" t="s">
        <v>585</v>
      </c>
      <c r="L85" s="384"/>
      <c r="M85" s="401" t="s">
        <v>586</v>
      </c>
      <c r="N85" s="1759" t="s">
        <v>881</v>
      </c>
      <c r="O85" s="1759"/>
      <c r="P85" s="2"/>
      <c r="Q85" s="2"/>
    </row>
    <row r="86" spans="2:17" ht="14.25">
      <c r="B86" s="406" t="s">
        <v>995</v>
      </c>
      <c r="C86" s="524">
        <v>4000</v>
      </c>
      <c r="D86" s="408" t="s">
        <v>519</v>
      </c>
      <c r="E86" s="525"/>
      <c r="F86" s="525">
        <v>0</v>
      </c>
      <c r="G86" s="410">
        <f t="shared" ref="G86:G92" si="0">1-F86</f>
        <v>1</v>
      </c>
      <c r="H86" s="411">
        <f>C86/G86</f>
        <v>4000</v>
      </c>
      <c r="I86" s="408">
        <v>0.22500000000000001</v>
      </c>
      <c r="J86" s="412">
        <f>I86*H86*(1+E86)</f>
        <v>900</v>
      </c>
      <c r="K86" s="1735">
        <f>SUM(J86:J92)</f>
        <v>1145.9000000000001</v>
      </c>
      <c r="L86" s="1717" t="s">
        <v>588</v>
      </c>
      <c r="M86" s="1718">
        <f>SUM(K86,L92)</f>
        <v>1145.9000000000001</v>
      </c>
      <c r="N86" s="1759"/>
      <c r="O86" s="1759"/>
      <c r="P86" s="2"/>
      <c r="Q86" s="2"/>
    </row>
    <row r="87" spans="2:17" ht="14.25">
      <c r="B87" s="406" t="s">
        <v>996</v>
      </c>
      <c r="C87" s="524">
        <v>1000</v>
      </c>
      <c r="D87" s="408" t="s">
        <v>519</v>
      </c>
      <c r="E87" s="525">
        <v>0</v>
      </c>
      <c r="F87" s="525">
        <v>0</v>
      </c>
      <c r="G87" s="410">
        <f t="shared" si="0"/>
        <v>1</v>
      </c>
      <c r="H87" s="411">
        <f t="shared" ref="H87:H92" si="1">C87/G87</f>
        <v>1000</v>
      </c>
      <c r="I87" s="410">
        <v>0.05</v>
      </c>
      <c r="J87" s="412">
        <f>I87*H87*(1+E87)</f>
        <v>50</v>
      </c>
      <c r="K87" s="1736"/>
      <c r="L87" s="1717"/>
      <c r="M87" s="1718"/>
      <c r="N87" s="1759"/>
      <c r="O87" s="1759"/>
      <c r="P87" s="2"/>
      <c r="Q87" s="2"/>
    </row>
    <row r="88" spans="2:17" ht="14.25">
      <c r="B88" s="406" t="s">
        <v>997</v>
      </c>
      <c r="C88" s="524">
        <v>1500</v>
      </c>
      <c r="D88" s="408" t="s">
        <v>591</v>
      </c>
      <c r="E88" s="525"/>
      <c r="F88" s="525"/>
      <c r="G88" s="410">
        <f t="shared" si="0"/>
        <v>1</v>
      </c>
      <c r="H88" s="411">
        <f t="shared" si="1"/>
        <v>1500</v>
      </c>
      <c r="I88" s="408">
        <v>0.115</v>
      </c>
      <c r="J88" s="412">
        <f>I88*H88*(1+E88)</f>
        <v>172.5</v>
      </c>
      <c r="K88" s="1736"/>
      <c r="L88" s="1717"/>
      <c r="M88" s="1718"/>
      <c r="N88" s="1759"/>
      <c r="O88" s="1759"/>
      <c r="P88" s="2"/>
      <c r="Q88" s="2"/>
    </row>
    <row r="89" spans="2:17" ht="14.25">
      <c r="B89" s="406" t="s">
        <v>998</v>
      </c>
      <c r="C89" s="524">
        <v>1000</v>
      </c>
      <c r="D89" s="408" t="s">
        <v>999</v>
      </c>
      <c r="E89" s="525"/>
      <c r="F89" s="525"/>
      <c r="G89" s="410"/>
      <c r="H89" s="411"/>
      <c r="I89" s="408">
        <f>1/100</f>
        <v>0.01</v>
      </c>
      <c r="J89" s="412">
        <f>C89*I89*(1+E89)</f>
        <v>10</v>
      </c>
      <c r="K89" s="1736"/>
      <c r="L89" s="1717"/>
      <c r="M89" s="1718"/>
      <c r="N89" s="1759"/>
      <c r="O89" s="1759"/>
      <c r="P89" s="2"/>
      <c r="Q89" s="2"/>
    </row>
    <row r="90" spans="2:17" ht="14.25">
      <c r="B90" s="406" t="s">
        <v>1000</v>
      </c>
      <c r="C90" s="524">
        <v>170</v>
      </c>
      <c r="D90" s="408" t="s">
        <v>999</v>
      </c>
      <c r="E90" s="525"/>
      <c r="F90" s="525"/>
      <c r="G90" s="410"/>
      <c r="H90" s="411"/>
      <c r="I90" s="408">
        <v>0.02</v>
      </c>
      <c r="J90" s="412">
        <f>C90*I90*(1+E90)</f>
        <v>3.4</v>
      </c>
      <c r="K90" s="1736"/>
      <c r="L90" s="1717"/>
      <c r="M90" s="1718"/>
      <c r="N90" s="1759"/>
      <c r="O90" s="1759"/>
      <c r="P90" s="2"/>
      <c r="Q90" s="2"/>
    </row>
    <row r="91" spans="2:17" ht="14.25">
      <c r="B91" s="406" t="s">
        <v>181</v>
      </c>
      <c r="C91" s="524">
        <v>10</v>
      </c>
      <c r="D91" s="408" t="s">
        <v>1001</v>
      </c>
      <c r="E91" s="525"/>
      <c r="F91" s="525"/>
      <c r="G91" s="410">
        <f t="shared" si="0"/>
        <v>1</v>
      </c>
      <c r="H91" s="411">
        <f t="shared" si="1"/>
        <v>10</v>
      </c>
      <c r="I91" s="408">
        <v>1</v>
      </c>
      <c r="J91" s="412">
        <f>I91*H91*(1+E91)</f>
        <v>10</v>
      </c>
      <c r="K91" s="1736"/>
      <c r="L91" s="1717"/>
      <c r="M91" s="1718"/>
      <c r="N91" s="1759"/>
      <c r="O91" s="1759"/>
      <c r="P91" s="2"/>
      <c r="Q91" s="2"/>
    </row>
    <row r="92" spans="2:17" ht="15.75" thickBot="1">
      <c r="B92" s="414"/>
      <c r="C92" s="530"/>
      <c r="D92" s="416"/>
      <c r="E92" s="531"/>
      <c r="F92" s="531"/>
      <c r="G92" s="410">
        <f t="shared" si="0"/>
        <v>1</v>
      </c>
      <c r="H92" s="411">
        <f t="shared" si="1"/>
        <v>0</v>
      </c>
      <c r="I92" s="416">
        <v>1</v>
      </c>
      <c r="J92" s="412">
        <f>I92*C92*(1+E92)</f>
        <v>0</v>
      </c>
      <c r="K92" s="1737"/>
      <c r="L92" s="532">
        <v>0</v>
      </c>
      <c r="M92" s="1718"/>
      <c r="N92" s="1759"/>
      <c r="O92" s="1759"/>
      <c r="P92" s="2"/>
      <c r="Q92" s="2"/>
    </row>
    <row r="93" spans="2:17" ht="14.25">
      <c r="B93" s="384"/>
      <c r="C93" s="419" t="s">
        <v>595</v>
      </c>
      <c r="D93" s="384"/>
      <c r="E93" s="1719" t="s">
        <v>596</v>
      </c>
      <c r="F93" s="1720"/>
      <c r="I93" s="419" t="s">
        <v>595</v>
      </c>
      <c r="J93" s="384"/>
      <c r="K93" s="384"/>
      <c r="L93" s="419" t="s">
        <v>597</v>
      </c>
      <c r="M93" s="384"/>
      <c r="N93" s="1759"/>
      <c r="O93" s="1759"/>
      <c r="P93" s="2"/>
      <c r="Q93" s="2"/>
    </row>
    <row r="94" spans="2:17">
      <c r="M94" s="2"/>
      <c r="N94" s="2"/>
      <c r="O94" s="2"/>
      <c r="P94" s="2"/>
      <c r="Q94" s="2"/>
    </row>
    <row r="95" spans="2:17">
      <c r="M95" s="2"/>
      <c r="N95" s="2"/>
      <c r="O95" s="2"/>
      <c r="P95" s="2"/>
      <c r="Q95" s="2"/>
    </row>
    <row r="96" spans="2:17" ht="13.5" thickBot="1">
      <c r="M96" s="2"/>
      <c r="N96" s="2"/>
      <c r="O96" s="2"/>
      <c r="P96" s="2"/>
      <c r="Q96" s="2"/>
    </row>
    <row r="97" spans="3:22">
      <c r="D97" s="863" t="s">
        <v>991</v>
      </c>
      <c r="E97" s="864">
        <f>(200000*9*-1)</f>
        <v>-1800000</v>
      </c>
      <c r="F97" s="368" t="s">
        <v>992</v>
      </c>
      <c r="M97" s="2"/>
      <c r="N97" s="2"/>
      <c r="O97" s="2"/>
      <c r="P97" s="2"/>
      <c r="Q97" s="2"/>
    </row>
    <row r="98" spans="3:22" ht="13.5" customHeight="1" thickBot="1">
      <c r="D98" s="865" t="s">
        <v>994</v>
      </c>
      <c r="E98" s="866">
        <f>200000*1.4*4*-1</f>
        <v>-1120000</v>
      </c>
      <c r="F98" s="368" t="s">
        <v>993</v>
      </c>
      <c r="M98" s="4"/>
      <c r="N98" s="5"/>
      <c r="O98" s="5"/>
      <c r="P98" s="5"/>
      <c r="Q98" s="5"/>
    </row>
    <row r="99" spans="3:22">
      <c r="M99" s="4"/>
      <c r="N99" s="5"/>
      <c r="O99" s="5"/>
      <c r="P99" s="5"/>
      <c r="Q99" s="5"/>
    </row>
    <row r="100" spans="3:22">
      <c r="M100" s="4"/>
      <c r="N100" s="5"/>
      <c r="O100" s="5"/>
      <c r="P100" s="5"/>
      <c r="Q100" s="5"/>
    </row>
    <row r="101" spans="3:22">
      <c r="H101" s="254"/>
      <c r="M101" s="4"/>
      <c r="N101" s="5"/>
      <c r="O101" s="5"/>
      <c r="P101" s="5"/>
      <c r="Q101" s="5"/>
    </row>
    <row r="103" spans="3:22">
      <c r="C103" s="272" t="s">
        <v>365</v>
      </c>
      <c r="D103" s="25"/>
      <c r="E103" s="707">
        <f>G63</f>
        <v>25500</v>
      </c>
      <c r="F103" s="707">
        <f>G64</f>
        <v>28050.000000000004</v>
      </c>
      <c r="G103" s="707">
        <f>G65</f>
        <v>30855.000000000007</v>
      </c>
      <c r="H103" s="707">
        <f>G66</f>
        <v>29620.800000000007</v>
      </c>
      <c r="I103" s="707">
        <f>G67</f>
        <v>28435.968000000008</v>
      </c>
      <c r="P103" s="272"/>
      <c r="Q103" s="25"/>
      <c r="R103" s="25"/>
      <c r="S103" s="25"/>
      <c r="T103" s="25"/>
      <c r="U103" s="25"/>
      <c r="V103" s="25"/>
    </row>
    <row r="104" spans="3:22">
      <c r="C104" s="27" t="s">
        <v>361</v>
      </c>
      <c r="D104" s="27" t="s">
        <v>112</v>
      </c>
      <c r="E104" s="27" t="s">
        <v>113</v>
      </c>
      <c r="F104" s="27" t="s">
        <v>114</v>
      </c>
      <c r="G104" s="27" t="s">
        <v>115</v>
      </c>
      <c r="H104" s="27" t="s">
        <v>116</v>
      </c>
      <c r="I104" s="27" t="s">
        <v>117</v>
      </c>
      <c r="P104" s="27"/>
      <c r="Q104" s="27"/>
      <c r="R104" s="27"/>
      <c r="S104" s="27"/>
      <c r="T104" s="27"/>
      <c r="U104" s="27"/>
      <c r="V104" s="27"/>
    </row>
    <row r="105" spans="3:22">
      <c r="C105" s="269" t="s">
        <v>118</v>
      </c>
      <c r="D105" s="270"/>
      <c r="E105" s="270"/>
      <c r="F105" s="270"/>
      <c r="G105" s="270"/>
      <c r="H105" s="270"/>
      <c r="I105" s="270"/>
      <c r="J105" s="378" t="s">
        <v>1090</v>
      </c>
      <c r="P105" s="269"/>
      <c r="Q105" s="270"/>
      <c r="R105" s="270"/>
      <c r="S105" s="270"/>
      <c r="T105" s="270"/>
      <c r="U105" s="270"/>
      <c r="V105" s="270"/>
    </row>
    <row r="106" spans="3:22">
      <c r="C106" s="25" t="s">
        <v>356</v>
      </c>
      <c r="D106" s="752"/>
      <c r="E106" s="752">
        <f>E103*J67</f>
        <v>89250000</v>
      </c>
      <c r="F106" s="752">
        <f>F103*K67</f>
        <v>98175000.000000015</v>
      </c>
      <c r="G106" s="752">
        <f>G103*L67</f>
        <v>107992500.00000003</v>
      </c>
      <c r="H106" s="752">
        <f>H103*M67</f>
        <v>108856440.00000003</v>
      </c>
      <c r="I106" s="752"/>
      <c r="J106" s="806">
        <v>109727291.52000001</v>
      </c>
      <c r="P106" s="25"/>
      <c r="Q106" s="26"/>
      <c r="R106" s="26"/>
      <c r="S106" s="26"/>
      <c r="T106" s="26"/>
      <c r="U106" s="26"/>
      <c r="V106" s="26"/>
    </row>
    <row r="107" spans="3:22">
      <c r="C107" s="25" t="s">
        <v>1089</v>
      </c>
      <c r="D107" s="752"/>
      <c r="E107" s="752"/>
      <c r="F107" s="752"/>
      <c r="G107" s="752"/>
      <c r="H107" s="752"/>
      <c r="I107" s="752">
        <f>J106*0.1</f>
        <v>10972729.152000003</v>
      </c>
      <c r="P107" s="25"/>
      <c r="Q107" s="26"/>
      <c r="R107" s="26"/>
      <c r="S107" s="26"/>
      <c r="T107" s="26"/>
      <c r="U107" s="26"/>
      <c r="V107" s="26"/>
    </row>
    <row r="108" spans="3:22">
      <c r="C108" s="25" t="s">
        <v>1088</v>
      </c>
      <c r="D108" s="752"/>
      <c r="E108" s="752"/>
      <c r="F108" s="752"/>
      <c r="G108" s="752"/>
      <c r="H108" s="752"/>
      <c r="I108" s="752">
        <f>J106-I107</f>
        <v>98754562.368000001</v>
      </c>
      <c r="P108" s="25"/>
      <c r="Q108" s="26"/>
      <c r="R108" s="26"/>
      <c r="S108" s="26"/>
      <c r="T108" s="26"/>
      <c r="U108" s="26"/>
      <c r="V108" s="26"/>
    </row>
    <row r="109" spans="3:22" ht="25.5">
      <c r="C109" s="1049" t="s">
        <v>1115</v>
      </c>
      <c r="D109" s="860"/>
      <c r="E109" s="860">
        <f>200000*1.4*13</f>
        <v>3640000</v>
      </c>
      <c r="F109" s="860">
        <f>200000*1.4*13</f>
        <v>3640000</v>
      </c>
      <c r="G109" s="860">
        <f>200000*1.4*13</f>
        <v>3640000</v>
      </c>
      <c r="H109" s="860">
        <f>200000*1.4*13</f>
        <v>3640000</v>
      </c>
      <c r="I109" s="860">
        <f>200000*1.4*13</f>
        <v>3640000</v>
      </c>
      <c r="J109" s="351" t="s">
        <v>1519</v>
      </c>
      <c r="P109" s="25"/>
      <c r="Q109" s="26"/>
      <c r="R109" s="26"/>
      <c r="S109" s="26"/>
      <c r="T109" s="26"/>
      <c r="U109" s="26"/>
      <c r="V109" s="26"/>
    </row>
    <row r="110" spans="3:22">
      <c r="C110" s="25"/>
      <c r="D110" s="752"/>
      <c r="E110" s="752"/>
      <c r="F110" s="752"/>
      <c r="G110" s="752"/>
      <c r="H110" s="752"/>
      <c r="I110" s="752"/>
      <c r="P110" s="25"/>
      <c r="Q110" s="26"/>
      <c r="R110" s="26"/>
      <c r="S110" s="26"/>
      <c r="T110" s="26"/>
      <c r="U110" s="26"/>
      <c r="V110" s="26"/>
    </row>
    <row r="111" spans="3:22">
      <c r="C111" s="25" t="s">
        <v>1025</v>
      </c>
      <c r="D111" s="752"/>
      <c r="E111" s="752"/>
      <c r="F111" s="752"/>
      <c r="G111" s="752"/>
      <c r="H111" s="752"/>
      <c r="I111" s="753">
        <f>D149*0.2*-1</f>
        <v>750000</v>
      </c>
      <c r="P111" s="25"/>
      <c r="Q111" s="26"/>
      <c r="R111" s="26"/>
      <c r="S111" s="26"/>
      <c r="T111" s="26"/>
      <c r="U111" s="26"/>
      <c r="V111" s="280"/>
    </row>
    <row r="112" spans="3:22">
      <c r="C112" s="25"/>
      <c r="D112" s="752"/>
      <c r="E112" s="752"/>
      <c r="F112" s="752"/>
      <c r="G112" s="752"/>
      <c r="H112" s="752"/>
      <c r="I112" s="753"/>
      <c r="P112" s="25"/>
      <c r="Q112" s="26"/>
      <c r="R112" s="26"/>
      <c r="S112" s="26"/>
      <c r="T112" s="26"/>
      <c r="U112" s="26"/>
      <c r="V112" s="280"/>
    </row>
    <row r="113" spans="3:22">
      <c r="C113" s="25" t="s">
        <v>774</v>
      </c>
      <c r="D113" s="752"/>
      <c r="E113" s="752"/>
      <c r="F113" s="752"/>
      <c r="G113" s="752"/>
      <c r="H113" s="752"/>
      <c r="I113" s="753"/>
      <c r="J113" s="368" t="s">
        <v>1102</v>
      </c>
      <c r="P113" s="25"/>
      <c r="Q113" s="26"/>
      <c r="R113" s="26"/>
      <c r="S113" s="26"/>
      <c r="T113" s="26"/>
      <c r="U113" s="26"/>
      <c r="V113" s="280"/>
    </row>
    <row r="114" spans="3:22">
      <c r="C114" s="269" t="s">
        <v>121</v>
      </c>
      <c r="D114" s="754"/>
      <c r="E114" s="754"/>
      <c r="F114" s="754"/>
      <c r="G114" s="754"/>
      <c r="H114" s="754"/>
      <c r="I114" s="754"/>
      <c r="J114" s="351" t="s">
        <v>1098</v>
      </c>
      <c r="K114" s="351" t="s">
        <v>1099</v>
      </c>
      <c r="L114" s="351" t="s">
        <v>1100</v>
      </c>
      <c r="P114" s="269"/>
      <c r="Q114" s="270"/>
      <c r="R114" s="270"/>
      <c r="S114" s="270"/>
      <c r="T114" s="270"/>
      <c r="U114" s="270"/>
      <c r="V114" s="270"/>
    </row>
    <row r="115" spans="3:22">
      <c r="C115" s="25" t="s">
        <v>122</v>
      </c>
      <c r="D115" s="752"/>
      <c r="E115" s="254">
        <v>-747112.5</v>
      </c>
      <c r="F115" s="254">
        <v>-704927.13755518699</v>
      </c>
      <c r="G115" s="254">
        <v>-634726.47591077501</v>
      </c>
      <c r="H115" s="254">
        <v>-517905.55486830702</v>
      </c>
      <c r="I115" s="254">
        <v>-323503.86016153701</v>
      </c>
      <c r="J115" s="254">
        <v>-897702.96177173196</v>
      </c>
      <c r="K115" s="254">
        <v>-560740.02427999605</v>
      </c>
      <c r="P115" s="25"/>
      <c r="Q115" s="26"/>
      <c r="R115" s="26"/>
      <c r="S115" s="26"/>
      <c r="T115" s="26"/>
      <c r="U115" s="26"/>
      <c r="V115" s="26"/>
    </row>
    <row r="116" spans="3:22">
      <c r="C116" s="47" t="s">
        <v>801</v>
      </c>
      <c r="D116" s="752"/>
      <c r="E116" s="752"/>
      <c r="F116" s="752"/>
      <c r="G116" s="752"/>
      <c r="H116" s="752"/>
      <c r="I116" s="752"/>
      <c r="J116" s="351"/>
      <c r="P116" s="47"/>
      <c r="Q116" s="26"/>
      <c r="R116" s="26"/>
      <c r="S116" s="26"/>
      <c r="T116" s="26"/>
      <c r="U116" s="26"/>
      <c r="V116" s="26"/>
    </row>
    <row r="117" spans="3:22">
      <c r="C117" s="631" t="s">
        <v>1002</v>
      </c>
      <c r="D117" s="752"/>
      <c r="E117" s="752">
        <f>-100000*12</f>
        <v>-1200000</v>
      </c>
      <c r="F117" s="752">
        <f>-100000*12</f>
        <v>-1200000</v>
      </c>
      <c r="G117" s="752">
        <f>-100000*12</f>
        <v>-1200000</v>
      </c>
      <c r="H117" s="752">
        <f>-100000*12</f>
        <v>-1200000</v>
      </c>
      <c r="I117" s="752">
        <f>-100000*12</f>
        <v>-1200000</v>
      </c>
      <c r="P117" s="47"/>
      <c r="Q117" s="26"/>
      <c r="R117" s="26"/>
      <c r="S117" s="26"/>
      <c r="T117" s="26"/>
      <c r="U117" s="26"/>
      <c r="V117" s="26"/>
    </row>
    <row r="118" spans="3:22">
      <c r="C118" s="632" t="s">
        <v>1003</v>
      </c>
      <c r="D118" s="752"/>
      <c r="E118" s="752">
        <f>-1400000*13*1.4</f>
        <v>-25480000</v>
      </c>
      <c r="F118" s="752">
        <f>-1400000*13*1.4</f>
        <v>-25480000</v>
      </c>
      <c r="G118" s="752">
        <f>-1400000*13*1.4</f>
        <v>-25480000</v>
      </c>
      <c r="H118" s="752">
        <f>-1400000*13*1.4</f>
        <v>-25480000</v>
      </c>
      <c r="I118" s="752">
        <f>-1400000*13*1.4</f>
        <v>-25480000</v>
      </c>
      <c r="J118" s="351" t="s">
        <v>1005</v>
      </c>
      <c r="P118" s="47"/>
      <c r="Q118" s="26"/>
      <c r="R118" s="26"/>
      <c r="S118" s="26"/>
      <c r="T118" s="26"/>
      <c r="U118" s="26"/>
      <c r="V118" s="26"/>
    </row>
    <row r="119" spans="3:22">
      <c r="C119" s="47" t="s">
        <v>802</v>
      </c>
      <c r="D119" s="752"/>
      <c r="E119" s="752"/>
      <c r="F119" s="752"/>
      <c r="G119" s="752"/>
      <c r="H119" s="752"/>
      <c r="I119" s="752"/>
      <c r="P119" s="47"/>
      <c r="Q119" s="26"/>
      <c r="R119" s="26"/>
      <c r="S119" s="26"/>
      <c r="T119" s="26"/>
      <c r="U119" s="26"/>
      <c r="V119" s="26"/>
    </row>
    <row r="120" spans="3:22" ht="15.75" customHeight="1">
      <c r="C120" s="287" t="s">
        <v>803</v>
      </c>
      <c r="D120" s="752"/>
      <c r="E120" s="752"/>
      <c r="F120" s="752"/>
      <c r="G120" s="752"/>
      <c r="H120" s="752"/>
      <c r="I120" s="752"/>
      <c r="P120" s="287"/>
      <c r="Q120" s="26"/>
      <c r="R120" s="26"/>
      <c r="S120" s="26"/>
      <c r="T120" s="26"/>
      <c r="U120" s="26"/>
      <c r="V120" s="26"/>
    </row>
    <row r="121" spans="3:22" ht="15.75" customHeight="1">
      <c r="C121" s="199" t="s">
        <v>1079</v>
      </c>
      <c r="D121" s="752"/>
      <c r="E121" s="752">
        <f>-E103*$K$86</f>
        <v>-29220450.000000004</v>
      </c>
      <c r="F121" s="752">
        <f>-F103*$K$86</f>
        <v>-32142495.000000007</v>
      </c>
      <c r="G121" s="752">
        <f>-G103*$K$86</f>
        <v>-35356744.500000007</v>
      </c>
      <c r="H121" s="752">
        <f>-H103*$K$86</f>
        <v>-33942474.720000014</v>
      </c>
      <c r="I121" s="752">
        <f>-I103*$K$86</f>
        <v>-32584775.731200013</v>
      </c>
      <c r="J121" s="351"/>
      <c r="P121" s="199"/>
      <c r="Q121" s="26"/>
      <c r="R121" s="26"/>
      <c r="S121" s="26"/>
      <c r="T121" s="26"/>
      <c r="U121" s="26"/>
      <c r="V121" s="26"/>
    </row>
    <row r="122" spans="3:22" ht="15.75" customHeight="1">
      <c r="C122" s="199" t="s">
        <v>1091</v>
      </c>
      <c r="D122" s="752"/>
      <c r="E122" s="752"/>
      <c r="F122" s="752"/>
      <c r="G122" s="752"/>
      <c r="H122" s="752"/>
      <c r="I122" s="752">
        <f>I107*0.01*-1</f>
        <v>-109727.29152000003</v>
      </c>
      <c r="P122" s="199"/>
      <c r="Q122" s="26"/>
      <c r="R122" s="26"/>
      <c r="S122" s="26"/>
      <c r="T122" s="26"/>
      <c r="U122" s="26"/>
      <c r="V122" s="26"/>
    </row>
    <row r="123" spans="3:22" ht="15.75" customHeight="1">
      <c r="E123" s="752"/>
      <c r="F123" s="752"/>
      <c r="G123" s="752"/>
      <c r="H123" s="752"/>
      <c r="I123" s="752"/>
      <c r="P123" s="199"/>
      <c r="Q123" s="26"/>
      <c r="R123" s="26"/>
      <c r="S123" s="26"/>
      <c r="T123" s="26"/>
      <c r="U123" s="26"/>
      <c r="V123" s="26"/>
    </row>
    <row r="124" spans="3:22" ht="15.75" customHeight="1">
      <c r="C124" s="199" t="s">
        <v>1092</v>
      </c>
      <c r="D124" s="752"/>
      <c r="E124" s="752">
        <f>E106*0.035*-1</f>
        <v>-3123750.0000000005</v>
      </c>
      <c r="F124" s="752">
        <f>F106*0.035*-1</f>
        <v>-3436125.0000000009</v>
      </c>
      <c r="G124" s="752">
        <f>G106*0.035*-1</f>
        <v>-3779737.5000000014</v>
      </c>
      <c r="H124" s="752">
        <f>H106*0.035*-1</f>
        <v>-3809975.4000000013</v>
      </c>
      <c r="I124" s="752">
        <f>I108*0.035*-1</f>
        <v>-3456409.6828800002</v>
      </c>
      <c r="P124" s="199"/>
      <c r="Q124" s="26"/>
      <c r="R124" s="26"/>
      <c r="S124" s="26"/>
      <c r="T124" s="26"/>
      <c r="U124" s="26"/>
      <c r="V124" s="26"/>
    </row>
    <row r="125" spans="3:22" ht="15.75" customHeight="1">
      <c r="C125" s="199" t="s">
        <v>1093</v>
      </c>
      <c r="D125" s="752"/>
      <c r="E125" s="752"/>
      <c r="F125" s="752"/>
      <c r="G125" s="752"/>
      <c r="H125" s="752"/>
      <c r="I125" s="752">
        <f>I107*0.02*-1</f>
        <v>-219454.58304000006</v>
      </c>
      <c r="P125" s="199"/>
      <c r="Q125" s="26"/>
      <c r="R125" s="26"/>
      <c r="S125" s="26"/>
      <c r="T125" s="26"/>
      <c r="U125" s="26"/>
      <c r="V125" s="26"/>
    </row>
    <row r="126" spans="3:22" ht="15.75" customHeight="1">
      <c r="C126" s="199" t="s">
        <v>1111</v>
      </c>
      <c r="D126" s="752"/>
      <c r="E126" s="752">
        <f>E106*0.3*0.05*-1</f>
        <v>-1338750</v>
      </c>
      <c r="F126" s="752">
        <f>F106*0.3*0.05*-1</f>
        <v>-1472625.0000000002</v>
      </c>
      <c r="G126" s="752">
        <f>G106*0.3*0.05*-1</f>
        <v>-1619887.5000000005</v>
      </c>
      <c r="H126" s="752">
        <f>H106*0.3*0.05*-1</f>
        <v>-1632846.6000000006</v>
      </c>
      <c r="I126" s="752">
        <f>(I107+I108)*0.3*0.05*-1</f>
        <v>-1645909.3728</v>
      </c>
      <c r="P126" s="199"/>
      <c r="Q126" s="26"/>
      <c r="R126" s="26"/>
      <c r="S126" s="26"/>
      <c r="T126" s="26"/>
      <c r="U126" s="26"/>
      <c r="V126" s="26"/>
    </row>
    <row r="127" spans="3:22" ht="15.75" customHeight="1">
      <c r="C127" s="199" t="s">
        <v>766</v>
      </c>
      <c r="D127" s="752"/>
      <c r="E127" s="752"/>
      <c r="F127" s="752"/>
      <c r="G127" s="752"/>
      <c r="H127" s="752"/>
      <c r="I127" s="752"/>
      <c r="P127" s="199"/>
      <c r="Q127" s="26"/>
      <c r="R127" s="26"/>
      <c r="S127" s="26"/>
      <c r="T127" s="26"/>
      <c r="U127" s="26"/>
      <c r="V127" s="26"/>
    </row>
    <row r="128" spans="3:22">
      <c r="C128" s="267" t="s">
        <v>125</v>
      </c>
      <c r="D128" s="755"/>
      <c r="E128" s="755"/>
      <c r="F128" s="755"/>
      <c r="G128" s="755"/>
      <c r="H128" s="755"/>
      <c r="I128" s="755"/>
      <c r="P128" s="267"/>
      <c r="Q128" s="268"/>
      <c r="R128" s="268"/>
      <c r="S128" s="268"/>
      <c r="T128" s="268"/>
      <c r="U128" s="268"/>
      <c r="V128" s="268"/>
    </row>
    <row r="129" spans="1:22">
      <c r="C129" s="25" t="s">
        <v>1006</v>
      </c>
      <c r="D129" s="752"/>
      <c r="E129" s="752"/>
      <c r="F129" s="752"/>
      <c r="G129" s="752"/>
      <c r="H129" s="752"/>
      <c r="I129" s="752"/>
      <c r="J129" s="1746"/>
      <c r="K129" s="1747"/>
      <c r="L129" s="1747"/>
      <c r="M129" s="1747"/>
      <c r="P129" s="25"/>
      <c r="Q129" s="26"/>
      <c r="R129" s="26"/>
      <c r="S129" s="26"/>
      <c r="T129" s="26"/>
      <c r="U129" s="26"/>
      <c r="V129" s="26"/>
    </row>
    <row r="130" spans="1:22">
      <c r="C130" s="25" t="s">
        <v>1087</v>
      </c>
      <c r="D130" s="752"/>
      <c r="E130" s="752">
        <f>$D$149/5</f>
        <v>-750000</v>
      </c>
      <c r="F130" s="752">
        <f>$D$149/5</f>
        <v>-750000</v>
      </c>
      <c r="G130" s="752">
        <f>$D$149/5</f>
        <v>-750000</v>
      </c>
      <c r="H130" s="752">
        <f>$D$149/5</f>
        <v>-750000</v>
      </c>
      <c r="I130" s="752">
        <f>$D$149/5</f>
        <v>-750000</v>
      </c>
      <c r="P130" s="25"/>
      <c r="Q130" s="26"/>
      <c r="R130" s="26"/>
      <c r="S130" s="26"/>
      <c r="T130" s="26"/>
      <c r="U130" s="26"/>
      <c r="V130" s="26"/>
    </row>
    <row r="131" spans="1:22">
      <c r="C131" s="25" t="s">
        <v>871</v>
      </c>
      <c r="D131" s="752"/>
      <c r="E131" s="752"/>
      <c r="F131" s="752"/>
      <c r="G131" s="752"/>
      <c r="H131" s="752"/>
      <c r="I131" s="752"/>
      <c r="P131" s="25"/>
      <c r="Q131" s="26"/>
      <c r="R131" s="26"/>
      <c r="S131" s="26"/>
      <c r="T131" s="26"/>
      <c r="U131" s="26"/>
      <c r="V131" s="26"/>
    </row>
    <row r="132" spans="1:22">
      <c r="C132" s="25" t="s">
        <v>773</v>
      </c>
      <c r="D132" s="752"/>
      <c r="E132" s="752"/>
      <c r="F132" s="752"/>
      <c r="G132" s="752"/>
      <c r="H132" s="752"/>
      <c r="I132" s="752"/>
      <c r="P132" s="25"/>
      <c r="Q132" s="26"/>
      <c r="R132" s="26"/>
      <c r="S132" s="26"/>
      <c r="T132" s="26"/>
      <c r="U132" s="26"/>
      <c r="V132" s="26"/>
    </row>
    <row r="133" spans="1:22">
      <c r="C133" s="25" t="s">
        <v>787</v>
      </c>
      <c r="D133" s="752"/>
      <c r="E133" s="752"/>
      <c r="F133" s="752"/>
      <c r="G133" s="752"/>
      <c r="H133" s="752"/>
      <c r="I133" s="756"/>
      <c r="P133" s="25"/>
      <c r="Q133" s="26"/>
      <c r="R133" s="26"/>
      <c r="S133" s="26"/>
      <c r="T133" s="26"/>
      <c r="U133" s="26"/>
      <c r="V133" s="26"/>
    </row>
    <row r="134" spans="1:22">
      <c r="C134" s="25" t="s">
        <v>768</v>
      </c>
      <c r="D134" s="752"/>
      <c r="E134" s="752"/>
      <c r="F134" s="752"/>
      <c r="G134" s="752"/>
      <c r="H134" s="752"/>
      <c r="I134" s="756">
        <v>0</v>
      </c>
      <c r="P134" s="25"/>
      <c r="Q134" s="26"/>
      <c r="R134" s="26"/>
      <c r="S134" s="26"/>
      <c r="T134" s="26"/>
      <c r="U134" s="26"/>
      <c r="V134" s="26"/>
    </row>
    <row r="135" spans="1:22">
      <c r="C135" s="25" t="s">
        <v>872</v>
      </c>
      <c r="D135" s="752"/>
      <c r="E135" s="752"/>
      <c r="F135" s="752"/>
      <c r="G135" s="752"/>
      <c r="H135" s="757"/>
      <c r="I135" s="758"/>
      <c r="P135" s="25"/>
      <c r="Q135" s="26"/>
      <c r="R135" s="26"/>
      <c r="S135" s="26"/>
      <c r="T135" s="26"/>
      <c r="U135" s="26"/>
      <c r="V135" s="26"/>
    </row>
    <row r="136" spans="1:22">
      <c r="C136" s="25" t="s">
        <v>873</v>
      </c>
      <c r="D136" s="752"/>
      <c r="E136" s="752"/>
      <c r="F136" s="752"/>
      <c r="G136" s="752"/>
      <c r="H136" s="752"/>
      <c r="I136" s="759"/>
      <c r="P136" s="25"/>
      <c r="Q136" s="26"/>
      <c r="R136" s="26"/>
      <c r="S136" s="26"/>
      <c r="T136" s="26"/>
      <c r="U136" s="26"/>
      <c r="V136" s="26"/>
    </row>
    <row r="137" spans="1:22">
      <c r="C137" s="25" t="s">
        <v>781</v>
      </c>
      <c r="D137" s="752"/>
      <c r="E137" s="752"/>
      <c r="F137" s="752"/>
      <c r="G137" s="752"/>
      <c r="H137" s="752"/>
      <c r="I137" s="759"/>
      <c r="P137" s="25"/>
      <c r="Q137" s="26"/>
      <c r="R137" s="26"/>
      <c r="S137" s="26"/>
      <c r="T137" s="26"/>
      <c r="U137" s="26"/>
      <c r="V137" s="26"/>
    </row>
    <row r="138" spans="1:22">
      <c r="C138" s="25" t="s">
        <v>786</v>
      </c>
      <c r="D138" s="752"/>
      <c r="E138" s="752"/>
      <c r="F138" s="752"/>
      <c r="G138" s="752"/>
      <c r="H138" s="752"/>
      <c r="I138" s="759"/>
      <c r="P138" s="25"/>
      <c r="Q138" s="26"/>
      <c r="R138" s="26"/>
      <c r="S138" s="26"/>
      <c r="T138" s="26"/>
      <c r="U138" s="26"/>
      <c r="V138" s="26"/>
    </row>
    <row r="139" spans="1:22" ht="14.25">
      <c r="C139" s="31" t="s">
        <v>130</v>
      </c>
      <c r="D139" s="760"/>
      <c r="E139" s="760">
        <f>SUM(E106:E138)</f>
        <v>31029937.5</v>
      </c>
      <c r="F139" s="760">
        <f>SUM(F106:F138)</f>
        <v>36628827.862444825</v>
      </c>
      <c r="G139" s="760">
        <f>SUM(G106:G138)</f>
        <v>42811404.024089254</v>
      </c>
      <c r="H139" s="760">
        <f>SUM(H106:H138)</f>
        <v>45163237.725131705</v>
      </c>
      <c r="I139" s="760">
        <f>SUM(I106:I138)</f>
        <v>48347510.99839846</v>
      </c>
      <c r="K139" s="259"/>
      <c r="L139" s="259"/>
      <c r="M139" s="259"/>
      <c r="P139" s="31"/>
      <c r="Q139" s="32"/>
      <c r="R139" s="32"/>
      <c r="S139" s="32"/>
      <c r="T139" s="32"/>
      <c r="U139" s="32"/>
      <c r="V139" s="32"/>
    </row>
    <row r="140" spans="1:22">
      <c r="C140" s="33" t="s">
        <v>349</v>
      </c>
      <c r="D140" s="752"/>
      <c r="E140" s="752">
        <f>E139*0.35</f>
        <v>10860478.125</v>
      </c>
      <c r="F140" s="752">
        <f>F139*0.35</f>
        <v>12820089.751855688</v>
      </c>
      <c r="G140" s="752">
        <f>G139*0.35</f>
        <v>14983991.408431238</v>
      </c>
      <c r="H140" s="752">
        <f>H139*0.35</f>
        <v>15807133.203796096</v>
      </c>
      <c r="I140" s="752">
        <f>I139*0.35</f>
        <v>16921628.849439461</v>
      </c>
      <c r="K140" s="276"/>
      <c r="L140" s="259"/>
      <c r="M140" s="259"/>
      <c r="P140" s="33"/>
      <c r="Q140" s="26"/>
      <c r="R140" s="26"/>
      <c r="S140" s="26"/>
      <c r="T140" s="26"/>
      <c r="U140" s="26"/>
      <c r="V140" s="26"/>
    </row>
    <row r="141" spans="1:22" ht="28.5">
      <c r="C141" s="34" t="s">
        <v>132</v>
      </c>
      <c r="D141" s="761"/>
      <c r="E141" s="761">
        <f>E139-E140</f>
        <v>20169459.375</v>
      </c>
      <c r="F141" s="761">
        <f>F139-F140</f>
        <v>23808738.110589139</v>
      </c>
      <c r="G141" s="761">
        <f>G139-G140</f>
        <v>27827412.615658015</v>
      </c>
      <c r="H141" s="761">
        <f>H139-H140</f>
        <v>29356104.521335609</v>
      </c>
      <c r="I141" s="761">
        <f>I139-I140</f>
        <v>31425882.148959</v>
      </c>
      <c r="P141" s="34"/>
      <c r="Q141" s="35"/>
      <c r="R141" s="35"/>
      <c r="S141" s="35"/>
      <c r="T141" s="35"/>
      <c r="U141" s="35"/>
      <c r="V141" s="35"/>
    </row>
    <row r="142" spans="1:22">
      <c r="C142" s="33" t="s">
        <v>133</v>
      </c>
      <c r="D142" s="756"/>
      <c r="E142" s="756">
        <f>E130*-1</f>
        <v>750000</v>
      </c>
      <c r="F142" s="756">
        <f>F130*-1</f>
        <v>750000</v>
      </c>
      <c r="G142" s="756">
        <f>G130*-1</f>
        <v>750000</v>
      </c>
      <c r="H142" s="756">
        <f>H130*-1</f>
        <v>750000</v>
      </c>
      <c r="I142" s="756">
        <f>I130*-1</f>
        <v>750000</v>
      </c>
      <c r="P142" s="33"/>
      <c r="Q142" s="26"/>
      <c r="R142" s="26"/>
      <c r="S142" s="26"/>
      <c r="T142" s="26"/>
      <c r="U142" s="26"/>
      <c r="V142" s="26"/>
    </row>
    <row r="143" spans="1:22">
      <c r="C143" s="751" t="s">
        <v>202</v>
      </c>
      <c r="D143" s="254">
        <v>-1912500</v>
      </c>
      <c r="E143" s="254">
        <v>-191250.00000000017</v>
      </c>
      <c r="F143" s="254">
        <v>-210375.00000000017</v>
      </c>
      <c r="G143" s="763"/>
      <c r="H143" s="763"/>
      <c r="I143" s="764"/>
      <c r="K143" s="351" t="s">
        <v>1101</v>
      </c>
      <c r="P143" s="284"/>
      <c r="Q143" s="26"/>
      <c r="R143" s="26"/>
      <c r="S143" s="26"/>
      <c r="T143" s="26"/>
      <c r="U143" s="26"/>
    </row>
    <row r="144" spans="1:22">
      <c r="A144" s="1814" t="s">
        <v>1118</v>
      </c>
      <c r="B144" s="1815"/>
      <c r="C144" s="1053" t="s">
        <v>864</v>
      </c>
      <c r="D144" s="1054">
        <f>E97+E98</f>
        <v>-2920000</v>
      </c>
      <c r="E144" s="254"/>
      <c r="F144" s="254"/>
      <c r="G144" s="1051"/>
      <c r="H144" s="1051"/>
      <c r="I144" s="1052"/>
      <c r="K144" s="351"/>
      <c r="P144" s="284"/>
      <c r="Q144" s="5"/>
      <c r="R144" s="26"/>
      <c r="S144" s="26"/>
      <c r="T144" s="26"/>
      <c r="U144" s="26"/>
    </row>
    <row r="145" spans="3:23">
      <c r="C145" s="25" t="s">
        <v>1024</v>
      </c>
      <c r="D145" s="884"/>
      <c r="E145" s="254">
        <v>-63522.605699160798</v>
      </c>
      <c r="F145" s="254">
        <v>-105707.968143973</v>
      </c>
      <c r="G145" s="254">
        <v>-175908.629788386</v>
      </c>
      <c r="H145" s="254">
        <v>-292729.55083085399</v>
      </c>
      <c r="I145" s="254">
        <v>-487131.245537624</v>
      </c>
      <c r="J145" s="368" t="s">
        <v>1102</v>
      </c>
      <c r="K145" s="439">
        <v>304908.29163320363</v>
      </c>
      <c r="P145" s="25"/>
      <c r="R145" s="26"/>
      <c r="S145" s="26"/>
      <c r="T145" s="26"/>
      <c r="U145" s="26"/>
      <c r="V145" s="26"/>
    </row>
    <row r="146" spans="3:23">
      <c r="C146" s="25" t="s">
        <v>1009</v>
      </c>
      <c r="D146" s="759">
        <f>D149*0.4*-1</f>
        <v>1500000</v>
      </c>
      <c r="E146" s="759"/>
      <c r="G146" s="759"/>
      <c r="H146" s="759"/>
      <c r="I146" s="759"/>
      <c r="K146" s="439">
        <v>507397.88810681412</v>
      </c>
      <c r="P146" s="286"/>
      <c r="R146" s="26"/>
      <c r="S146" s="26"/>
      <c r="T146" s="26"/>
      <c r="U146" s="26"/>
      <c r="V146" s="26"/>
    </row>
    <row r="147" spans="3:23">
      <c r="C147" s="25" t="s">
        <v>1010</v>
      </c>
      <c r="D147" s="1046">
        <f>D149*0.3*-1</f>
        <v>1125000</v>
      </c>
      <c r="E147" s="752"/>
      <c r="G147" s="752"/>
      <c r="H147" s="756"/>
      <c r="I147" s="752"/>
      <c r="K147" s="439">
        <v>844360.82559854945</v>
      </c>
      <c r="P147" s="286"/>
      <c r="R147" s="5"/>
      <c r="S147" s="5"/>
      <c r="T147" s="5"/>
      <c r="U147" s="5"/>
      <c r="V147" s="26"/>
    </row>
    <row r="148" spans="3:23">
      <c r="C148" s="25" t="s">
        <v>858</v>
      </c>
      <c r="D148" s="752"/>
      <c r="E148" s="752"/>
      <c r="F148" s="752"/>
      <c r="G148" s="752"/>
      <c r="H148" s="756"/>
      <c r="I148" s="752"/>
      <c r="P148" s="286"/>
      <c r="Q148" s="26"/>
      <c r="V148" s="26"/>
    </row>
    <row r="149" spans="3:23">
      <c r="C149" s="25" t="s">
        <v>1108</v>
      </c>
      <c r="D149" s="752">
        <f>-4500000/1.2</f>
        <v>-3750000</v>
      </c>
      <c r="E149" s="752"/>
      <c r="G149" s="757"/>
      <c r="H149" s="758"/>
      <c r="I149" s="765"/>
      <c r="P149" s="286"/>
      <c r="Q149" s="26"/>
      <c r="R149" s="26"/>
      <c r="S149" s="26"/>
      <c r="T149" s="26"/>
      <c r="U149" s="26"/>
      <c r="V149" s="26"/>
    </row>
    <row r="150" spans="3:23">
      <c r="C150" s="25" t="s">
        <v>863</v>
      </c>
      <c r="D150" s="752"/>
      <c r="E150" s="752"/>
      <c r="F150" s="752"/>
      <c r="G150" s="757"/>
      <c r="H150" s="758"/>
      <c r="I150" s="765"/>
      <c r="P150" s="286"/>
      <c r="Q150" s="26"/>
      <c r="R150" s="26"/>
      <c r="S150" s="26"/>
      <c r="T150" s="26"/>
      <c r="U150" s="26"/>
      <c r="V150" s="26"/>
    </row>
    <row r="151" spans="3:23">
      <c r="C151" s="25" t="s">
        <v>785</v>
      </c>
      <c r="D151" s="752"/>
      <c r="E151" s="752"/>
      <c r="F151" s="752"/>
      <c r="G151" s="757"/>
      <c r="H151" s="758"/>
      <c r="I151" s="765"/>
      <c r="P151" s="286"/>
      <c r="Q151" s="26"/>
      <c r="R151" s="26"/>
      <c r="S151" s="26"/>
      <c r="T151" s="26"/>
      <c r="U151" s="26"/>
      <c r="V151" s="26"/>
    </row>
    <row r="152" spans="3:23">
      <c r="C152" s="286" t="s">
        <v>412</v>
      </c>
      <c r="D152" s="752"/>
      <c r="E152" s="752"/>
      <c r="F152" s="752"/>
      <c r="G152" s="752"/>
      <c r="H152" s="759"/>
      <c r="I152" s="752">
        <f>(D143+E143+F143)*-1</f>
        <v>2314125</v>
      </c>
      <c r="J152" s="298" t="s">
        <v>29</v>
      </c>
      <c r="P152" s="286"/>
      <c r="Q152" s="26"/>
      <c r="R152" s="26"/>
      <c r="S152" s="26"/>
      <c r="T152" s="26"/>
      <c r="U152" s="26"/>
      <c r="V152" s="26"/>
    </row>
    <row r="153" spans="3:23" ht="14.25">
      <c r="C153" s="37" t="s">
        <v>139</v>
      </c>
      <c r="D153" s="761">
        <f>SUM(D142:D152)</f>
        <v>-5957500</v>
      </c>
      <c r="E153" s="761">
        <f>SUM(E141:E152)</f>
        <v>20664686.769300841</v>
      </c>
      <c r="F153" s="761">
        <f>SUM(F141:F152)</f>
        <v>24242655.142445166</v>
      </c>
      <c r="G153" s="761">
        <f>SUM(G141:G152)</f>
        <v>28401503.985869627</v>
      </c>
      <c r="H153" s="761">
        <f>SUM(H141:H152)</f>
        <v>29813374.970504757</v>
      </c>
      <c r="I153" s="761">
        <f>SUM(I141:I152)</f>
        <v>34002875.903421372</v>
      </c>
      <c r="J153" s="790">
        <f>NPV(C175,E153:I153)+D153</f>
        <v>74039059.454479188</v>
      </c>
      <c r="P153" s="37"/>
      <c r="Q153" s="35"/>
      <c r="R153" s="35"/>
      <c r="S153" s="35"/>
      <c r="T153" s="35"/>
      <c r="U153" s="35"/>
      <c r="V153" s="35"/>
      <c r="W153" s="297"/>
    </row>
    <row r="154" spans="3:23">
      <c r="C154" s="3"/>
      <c r="E154" s="5"/>
      <c r="F154" s="5"/>
      <c r="G154" s="5"/>
      <c r="H154" s="5"/>
      <c r="I154" s="5"/>
    </row>
    <row r="155" spans="3:23">
      <c r="D155" s="257" t="s">
        <v>1112</v>
      </c>
    </row>
    <row r="156" spans="3:23" ht="81" customHeight="1">
      <c r="D156" s="667" t="s">
        <v>1120</v>
      </c>
      <c r="E156" s="297"/>
      <c r="F156" s="1047">
        <v>1</v>
      </c>
      <c r="G156" s="1812" t="s">
        <v>1518</v>
      </c>
      <c r="H156" s="1812"/>
      <c r="I156" s="1812"/>
      <c r="J156" s="259"/>
      <c r="K156" s="275"/>
      <c r="L156" s="259"/>
    </row>
    <row r="157" spans="3:23" ht="20.25">
      <c r="D157" s="254"/>
      <c r="F157" s="1040"/>
      <c r="G157" s="1809"/>
      <c r="H157" s="1809"/>
      <c r="I157" s="1809"/>
      <c r="J157" s="1809"/>
      <c r="K157" s="1809"/>
      <c r="L157" s="1809"/>
    </row>
    <row r="158" spans="3:23" ht="29.25" customHeight="1">
      <c r="D158" s="254"/>
      <c r="F158" s="1813">
        <v>3</v>
      </c>
      <c r="G158" s="1813" t="s">
        <v>1110</v>
      </c>
      <c r="H158" s="662"/>
      <c r="I158" s="662"/>
      <c r="J158" s="662"/>
      <c r="K158" s="662"/>
      <c r="L158" s="662"/>
      <c r="N158" s="299"/>
      <c r="O158" s="299"/>
      <c r="P158" s="299"/>
      <c r="Q158" s="299"/>
    </row>
    <row r="159" spans="3:23" ht="20.25" customHeight="1">
      <c r="F159" s="1813"/>
      <c r="G159" s="1813"/>
      <c r="H159" s="662"/>
      <c r="I159" s="662"/>
      <c r="J159" s="259"/>
      <c r="K159" s="259"/>
      <c r="L159" s="259"/>
      <c r="N159" s="299"/>
      <c r="O159" s="299"/>
      <c r="P159" s="299"/>
      <c r="Q159" s="299"/>
    </row>
    <row r="160" spans="3:23" ht="20.25">
      <c r="F160" s="662" t="s">
        <v>1109</v>
      </c>
      <c r="G160" s="1042">
        <f>(I107+I108)+I124+I125+I122+I126</f>
        <v>104295790.58976001</v>
      </c>
      <c r="H160" s="662"/>
      <c r="I160" s="662"/>
      <c r="J160" s="259"/>
      <c r="K160" s="259"/>
      <c r="L160" s="259"/>
      <c r="N160" s="299"/>
      <c r="O160" s="299"/>
      <c r="P160" s="299"/>
      <c r="Q160" s="299"/>
    </row>
    <row r="161" spans="2:17" ht="20.25">
      <c r="C161" s="254"/>
      <c r="F161" s="662" t="s">
        <v>1114</v>
      </c>
      <c r="G161" s="662"/>
      <c r="H161" s="662"/>
      <c r="I161" s="662"/>
      <c r="J161" s="259"/>
      <c r="K161" s="259"/>
      <c r="L161" s="259"/>
      <c r="N161" s="299"/>
      <c r="O161" s="299"/>
      <c r="P161" s="299"/>
      <c r="Q161" s="299"/>
    </row>
    <row r="162" spans="2:17" ht="20.25">
      <c r="C162" s="254"/>
      <c r="F162" s="1043" t="s">
        <v>1517</v>
      </c>
      <c r="G162" s="1043"/>
      <c r="H162" s="1043"/>
      <c r="I162" s="1043"/>
      <c r="J162" s="382"/>
      <c r="K162" s="1041"/>
      <c r="L162" s="1041"/>
      <c r="M162" s="299"/>
      <c r="N162" s="299"/>
    </row>
    <row r="163" spans="2:17">
      <c r="C163" s="254"/>
      <c r="K163" s="299"/>
      <c r="L163" s="299"/>
      <c r="M163" s="299"/>
      <c r="N163" s="299"/>
    </row>
    <row r="164" spans="2:17">
      <c r="C164" s="254"/>
      <c r="K164" s="299"/>
      <c r="L164" s="299"/>
      <c r="M164" s="299"/>
      <c r="N164" s="299"/>
    </row>
    <row r="165" spans="2:17">
      <c r="C165" s="254"/>
      <c r="G165" s="25"/>
      <c r="H165" s="25" t="s">
        <v>483</v>
      </c>
      <c r="I165" s="25" t="s">
        <v>484</v>
      </c>
      <c r="K165" s="299"/>
      <c r="L165" s="299"/>
      <c r="M165" s="299"/>
      <c r="N165" s="299"/>
    </row>
    <row r="166" spans="2:17">
      <c r="G166" s="25" t="s">
        <v>485</v>
      </c>
      <c r="H166" s="343"/>
      <c r="I166" s="134"/>
      <c r="K166" s="299"/>
      <c r="L166" s="299"/>
      <c r="M166" s="299"/>
      <c r="N166" s="299"/>
    </row>
    <row r="167" spans="2:17">
      <c r="G167" s="25" t="s">
        <v>486</v>
      </c>
      <c r="H167" s="343"/>
      <c r="I167" s="134"/>
      <c r="N167" s="299"/>
      <c r="O167" s="299"/>
      <c r="P167" s="299"/>
      <c r="Q167" s="299"/>
    </row>
    <row r="168" spans="2:17">
      <c r="G168" s="25" t="s">
        <v>487</v>
      </c>
      <c r="H168" s="343"/>
      <c r="I168" s="134"/>
      <c r="N168" s="299"/>
      <c r="O168" s="299"/>
      <c r="P168" s="299"/>
      <c r="Q168" s="299"/>
    </row>
    <row r="169" spans="2:17">
      <c r="G169" s="271" t="s">
        <v>150</v>
      </c>
      <c r="H169" s="344"/>
      <c r="I169" s="25"/>
      <c r="J169" t="e">
        <f>H166*I166/(H166+H167)</f>
        <v>#DIV/0!</v>
      </c>
      <c r="N169" s="299"/>
      <c r="O169" s="299"/>
      <c r="P169" s="299"/>
      <c r="Q169" s="299"/>
    </row>
    <row r="170" spans="2:17">
      <c r="N170" s="299"/>
      <c r="O170" s="299"/>
      <c r="P170" s="299"/>
      <c r="Q170" s="299"/>
    </row>
    <row r="171" spans="2:17" ht="15">
      <c r="G171" s="345" t="s">
        <v>488</v>
      </c>
      <c r="H171" s="346"/>
      <c r="I171" t="s">
        <v>498</v>
      </c>
      <c r="N171" s="299"/>
      <c r="O171" s="299"/>
      <c r="P171" s="299"/>
      <c r="Q171" s="299"/>
    </row>
    <row r="172" spans="2:17" ht="15">
      <c r="G172" s="345" t="s">
        <v>489</v>
      </c>
      <c r="H172" s="346">
        <v>0.75</v>
      </c>
      <c r="I172" s="347" t="s">
        <v>490</v>
      </c>
    </row>
    <row r="173" spans="2:17" ht="15">
      <c r="G173" s="345" t="s">
        <v>491</v>
      </c>
      <c r="H173" s="346">
        <v>0.25</v>
      </c>
      <c r="I173" s="347" t="s">
        <v>492</v>
      </c>
    </row>
    <row r="174" spans="2:17" ht="15.75" thickBot="1">
      <c r="G174" s="345" t="s">
        <v>493</v>
      </c>
      <c r="H174" s="346"/>
      <c r="I174" t="s">
        <v>494</v>
      </c>
      <c r="N174" s="304"/>
      <c r="O174" s="352"/>
    </row>
    <row r="175" spans="2:17" ht="15">
      <c r="B175" s="40" t="s">
        <v>140</v>
      </c>
      <c r="C175" s="285">
        <f>C183*C177+C184*(1-C181)*C182</f>
        <v>0.19234999999999999</v>
      </c>
      <c r="D175" s="351" t="s">
        <v>1105</v>
      </c>
      <c r="G175" s="345" t="s">
        <v>495</v>
      </c>
      <c r="H175" s="346"/>
      <c r="I175" t="s">
        <v>496</v>
      </c>
      <c r="N175" s="305"/>
      <c r="O175" s="353"/>
    </row>
    <row r="176" spans="2:17" ht="15.75" thickBot="1">
      <c r="B176" s="42" t="s">
        <v>141</v>
      </c>
      <c r="C176" s="43" t="s">
        <v>142</v>
      </c>
    </row>
    <row r="177" spans="2:15" ht="15.75" thickBot="1">
      <c r="B177" s="44" t="s">
        <v>143</v>
      </c>
      <c r="C177" s="1257">
        <f>C178+C179*(C180-C178)</f>
        <v>0.26</v>
      </c>
      <c r="G177" s="348" t="s">
        <v>497</v>
      </c>
      <c r="H177" s="349">
        <f>H171*H172+H174*H173*(1-H175)</f>
        <v>0</v>
      </c>
    </row>
    <row r="178" spans="2:15" ht="15">
      <c r="B178" s="44" t="s">
        <v>144</v>
      </c>
      <c r="C178" s="821">
        <v>0.05</v>
      </c>
      <c r="D178" s="785" t="s">
        <v>889</v>
      </c>
    </row>
    <row r="179" spans="2:15" ht="18.75" thickBot="1">
      <c r="B179" s="47" t="s">
        <v>7</v>
      </c>
      <c r="C179" s="1035">
        <v>1.4</v>
      </c>
      <c r="D179" s="786" t="s">
        <v>886</v>
      </c>
      <c r="I179" s="350" t="s">
        <v>502</v>
      </c>
    </row>
    <row r="180" spans="2:15" ht="18">
      <c r="B180" s="47" t="s">
        <v>146</v>
      </c>
      <c r="C180" s="1036">
        <v>0.2</v>
      </c>
      <c r="D180" s="4" t="s">
        <v>890</v>
      </c>
      <c r="I180" s="350" t="s">
        <v>883</v>
      </c>
    </row>
    <row r="181" spans="2:15" ht="18">
      <c r="B181" s="47" t="s">
        <v>148</v>
      </c>
      <c r="C181" s="1036">
        <v>0.35</v>
      </c>
      <c r="D181" s="4" t="s">
        <v>891</v>
      </c>
      <c r="I181" s="350" t="s">
        <v>884</v>
      </c>
    </row>
    <row r="182" spans="2:15" ht="18">
      <c r="B182" s="47" t="s">
        <v>150</v>
      </c>
      <c r="C182" s="1036">
        <f>P201</f>
        <v>0.1398076923076923</v>
      </c>
      <c r="D182" s="4"/>
      <c r="I182" s="350" t="s">
        <v>885</v>
      </c>
    </row>
    <row r="183" spans="2:15">
      <c r="B183" s="47" t="s">
        <v>152</v>
      </c>
      <c r="C183" s="1036">
        <v>0.6</v>
      </c>
      <c r="D183" s="4"/>
      <c r="E183" s="4"/>
      <c r="F183" s="4"/>
    </row>
    <row r="184" spans="2:15" ht="13.5" thickBot="1">
      <c r="B184" s="50" t="s">
        <v>154</v>
      </c>
      <c r="C184" s="1039">
        <v>0.4</v>
      </c>
      <c r="D184" s="4"/>
      <c r="E184" s="4"/>
      <c r="F184" s="4"/>
    </row>
    <row r="186" spans="2:15" ht="15.75">
      <c r="B186" s="570" t="s">
        <v>143</v>
      </c>
      <c r="C186" s="571">
        <f>C188+C187*(C189-C188)</f>
        <v>0.41000000000000003</v>
      </c>
      <c r="D186" t="s">
        <v>744</v>
      </c>
      <c r="L186" s="579"/>
    </row>
    <row r="187" spans="2:15" ht="14.25">
      <c r="B187" s="570" t="s">
        <v>745</v>
      </c>
      <c r="C187" s="491">
        <v>1.8</v>
      </c>
      <c r="D187" t="s">
        <v>746</v>
      </c>
    </row>
    <row r="188" spans="2:15" ht="14.25">
      <c r="B188" s="570" t="s">
        <v>144</v>
      </c>
      <c r="C188" s="572">
        <v>0.05</v>
      </c>
      <c r="D188" t="s">
        <v>747</v>
      </c>
      <c r="N188" s="580">
        <f>L201</f>
        <v>5200000</v>
      </c>
      <c r="O188" s="208">
        <v>1</v>
      </c>
    </row>
    <row r="189" spans="2:15" ht="14.25">
      <c r="B189" s="570" t="s">
        <v>146</v>
      </c>
      <c r="C189" s="572">
        <v>0.25</v>
      </c>
      <c r="N189" s="580">
        <f>L198</f>
        <v>1200000</v>
      </c>
      <c r="O189" s="581">
        <f>(N189*O188)/N188</f>
        <v>0.23076923076923078</v>
      </c>
    </row>
    <row r="191" spans="2:15">
      <c r="N191" s="580">
        <f>L201</f>
        <v>5200000</v>
      </c>
      <c r="O191" s="208">
        <v>1</v>
      </c>
    </row>
    <row r="192" spans="2:15" ht="14.25">
      <c r="B192" s="570"/>
      <c r="C192" s="574"/>
      <c r="D192" s="574"/>
      <c r="E192" s="574"/>
      <c r="F192" s="574"/>
      <c r="G192" s="574"/>
      <c r="H192" s="574"/>
      <c r="N192" s="582">
        <f>L199</f>
        <v>3000000</v>
      </c>
      <c r="O192" s="583">
        <f>(N192*O191)/N191</f>
        <v>0.57692307692307687</v>
      </c>
    </row>
    <row r="193" spans="2:17">
      <c r="C193" s="303"/>
      <c r="D193" s="303"/>
      <c r="E193" s="303"/>
      <c r="F193" s="303"/>
      <c r="G193" s="303"/>
      <c r="H193" s="303"/>
    </row>
    <row r="194" spans="2:17">
      <c r="C194" s="303"/>
      <c r="D194" s="303"/>
      <c r="E194" s="303"/>
      <c r="F194" s="303"/>
      <c r="G194" s="303"/>
      <c r="H194" s="303"/>
      <c r="L194" t="s">
        <v>751</v>
      </c>
      <c r="N194" s="580">
        <f>L201</f>
        <v>5200000</v>
      </c>
      <c r="O194" s="208">
        <v>1</v>
      </c>
    </row>
    <row r="195" spans="2:17" ht="14.25">
      <c r="C195" s="575"/>
      <c r="D195" s="576"/>
      <c r="E195" s="574"/>
      <c r="F195" s="584"/>
      <c r="G195" s="576"/>
      <c r="H195" s="576"/>
      <c r="N195" s="582">
        <f>L200</f>
        <v>1000000</v>
      </c>
      <c r="O195" s="585">
        <f>(N195*O194)/N194</f>
        <v>0.19230769230769232</v>
      </c>
    </row>
    <row r="197" spans="2:17" ht="14.25">
      <c r="L197" s="570" t="s">
        <v>752</v>
      </c>
      <c r="N197" s="576" t="s">
        <v>1103</v>
      </c>
    </row>
    <row r="198" spans="2:17" ht="14.25">
      <c r="B198" s="570"/>
      <c r="C198" s="578"/>
      <c r="L198" s="582">
        <v>1200000</v>
      </c>
      <c r="N198" s="1038">
        <v>0.11</v>
      </c>
      <c r="O198" s="586">
        <f>L198/$L$201</f>
        <v>0.23076923076923078</v>
      </c>
      <c r="P198" s="578">
        <f>N198*O198</f>
        <v>2.5384615384615387E-2</v>
      </c>
    </row>
    <row r="199" spans="2:17" ht="15" thickBot="1">
      <c r="L199" s="582">
        <v>3000000</v>
      </c>
      <c r="N199" s="1038">
        <v>0.115</v>
      </c>
      <c r="O199" s="587">
        <f>L199/$L$201</f>
        <v>0.57692307692307687</v>
      </c>
      <c r="P199" s="578">
        <f>N199*O199</f>
        <v>6.6346153846153846E-2</v>
      </c>
    </row>
    <row r="200" spans="2:17" ht="15" thickBot="1">
      <c r="C200" s="1782" t="s">
        <v>888</v>
      </c>
      <c r="D200" s="1783"/>
      <c r="E200" s="1783"/>
      <c r="F200" s="1783"/>
      <c r="G200" s="1783"/>
      <c r="H200" s="1783"/>
      <c r="I200" s="1784"/>
      <c r="L200" s="588">
        <v>1000000</v>
      </c>
      <c r="N200" s="1038">
        <v>0.25</v>
      </c>
      <c r="O200" s="590">
        <f>L200/$L$201</f>
        <v>0.19230769230769232</v>
      </c>
      <c r="P200" s="578">
        <f>N200*O200</f>
        <v>4.807692307692308E-2</v>
      </c>
    </row>
    <row r="201" spans="2:17" ht="15">
      <c r="C201" s="772" t="s">
        <v>143</v>
      </c>
      <c r="D201" s="773">
        <f>D203+D202*(D204-D203)</f>
        <v>0.41000000000000003</v>
      </c>
      <c r="E201" s="774" t="s">
        <v>744</v>
      </c>
      <c r="F201" s="774"/>
      <c r="G201" s="774"/>
      <c r="H201" s="774"/>
      <c r="I201" s="775"/>
      <c r="L201" s="582">
        <f>SUM(L198:L200)</f>
        <v>5200000</v>
      </c>
      <c r="N201" s="491"/>
      <c r="P201" s="591">
        <f>SUM(P198:P200)</f>
        <v>0.1398076923076923</v>
      </c>
      <c r="Q201" s="368" t="s">
        <v>1104</v>
      </c>
    </row>
    <row r="202" spans="2:17" ht="14.25">
      <c r="C202" s="776" t="s">
        <v>745</v>
      </c>
      <c r="D202" s="777">
        <v>1.8</v>
      </c>
      <c r="E202" s="257" t="s">
        <v>746</v>
      </c>
      <c r="F202" s="257"/>
      <c r="G202" s="257"/>
      <c r="H202" s="257"/>
      <c r="I202" s="778"/>
      <c r="N202" s="491"/>
    </row>
    <row r="203" spans="2:17" ht="14.25">
      <c r="C203" s="776" t="s">
        <v>144</v>
      </c>
      <c r="D203" s="779">
        <v>0.05</v>
      </c>
      <c r="E203" s="257" t="s">
        <v>747</v>
      </c>
      <c r="F203" s="257"/>
      <c r="G203" s="257"/>
      <c r="H203" s="257"/>
      <c r="I203" s="778"/>
    </row>
    <row r="204" spans="2:17" ht="14.25">
      <c r="C204" s="776" t="s">
        <v>146</v>
      </c>
      <c r="D204" s="779">
        <v>0.25</v>
      </c>
      <c r="E204" s="257"/>
      <c r="F204" s="257"/>
      <c r="G204" s="257"/>
      <c r="H204" s="257"/>
      <c r="I204" s="778"/>
      <c r="L204" s="548"/>
      <c r="M204" s="548"/>
      <c r="N204" s="548"/>
    </row>
    <row r="205" spans="2:17" ht="13.5" thickBot="1">
      <c r="C205" s="780"/>
      <c r="D205" s="781"/>
      <c r="E205" s="781"/>
      <c r="F205" s="781"/>
      <c r="G205" s="781"/>
      <c r="H205" s="781"/>
      <c r="I205" s="782"/>
      <c r="M205" s="787"/>
      <c r="N205" s="788"/>
    </row>
    <row r="206" spans="2:17">
      <c r="M206" s="787"/>
    </row>
    <row r="207" spans="2:17" ht="14.25">
      <c r="M207" s="789"/>
    </row>
  </sheetData>
  <mergeCells count="24">
    <mergeCell ref="A144:B144"/>
    <mergeCell ref="B84:K84"/>
    <mergeCell ref="A2:B12"/>
    <mergeCell ref="M30:N30"/>
    <mergeCell ref="O35:S35"/>
    <mergeCell ref="M41:O41"/>
    <mergeCell ref="M42:O42"/>
    <mergeCell ref="M45:O45"/>
    <mergeCell ref="D61:D67"/>
    <mergeCell ref="I61:N61"/>
    <mergeCell ref="V66:Y66"/>
    <mergeCell ref="M75:Q75"/>
    <mergeCell ref="M83:Q83"/>
    <mergeCell ref="G157:L157"/>
    <mergeCell ref="C200:I200"/>
    <mergeCell ref="N85:O93"/>
    <mergeCell ref="K86:K92"/>
    <mergeCell ref="L86:L91"/>
    <mergeCell ref="M86:M92"/>
    <mergeCell ref="E93:F93"/>
    <mergeCell ref="J129:M129"/>
    <mergeCell ref="G156:I156"/>
    <mergeCell ref="F158:F159"/>
    <mergeCell ref="G158:G159"/>
  </mergeCells>
  <conditionalFormatting sqref="G63:K63">
    <cfRule type="containsText" dxfId="15"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4D7BC-DF51-4E67-8BE8-B4482243BA20}">
  <sheetPr>
    <outlinePr summaryBelow="0" summaryRight="0"/>
  </sheetPr>
  <dimension ref="A1:AB95"/>
  <sheetViews>
    <sheetView topLeftCell="A43" zoomScaleNormal="100" workbookViewId="0">
      <selection activeCell="J71" sqref="J69:J71"/>
    </sheetView>
  </sheetViews>
  <sheetFormatPr defaultColWidth="14.42578125" defaultRowHeight="15" customHeight="1"/>
  <cols>
    <col min="1" max="1" width="14.42578125" style="384"/>
    <col min="2" max="2" width="37" style="384" customWidth="1"/>
    <col min="3" max="3" width="17.42578125" style="384" bestFit="1" customWidth="1"/>
    <col min="4" max="4" width="18.140625" style="384" customWidth="1"/>
    <col min="5" max="5" width="18.7109375" style="384" bestFit="1" customWidth="1"/>
    <col min="6" max="6" width="22.85546875" style="384" customWidth="1"/>
    <col min="7" max="7" width="19.14062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16384" width="14.42578125" style="384"/>
  </cols>
  <sheetData>
    <row r="1" spans="1:28" ht="14.25">
      <c r="A1" s="448"/>
    </row>
    <row r="2" spans="1:28" ht="15" customHeight="1">
      <c r="B2" s="1726" t="s">
        <v>628</v>
      </c>
      <c r="C2" s="1726"/>
    </row>
    <row r="3" spans="1:28" ht="15" customHeight="1">
      <c r="B3" s="1726"/>
      <c r="C3" s="1726"/>
      <c r="Q3" s="449" t="s">
        <v>629</v>
      </c>
      <c r="R3" s="449">
        <v>130000</v>
      </c>
      <c r="S3" s="384" t="s">
        <v>630</v>
      </c>
    </row>
    <row r="4" spans="1:28" ht="15" customHeight="1">
      <c r="B4" s="1726"/>
      <c r="C4" s="1726"/>
      <c r="Q4" s="449" t="s">
        <v>631</v>
      </c>
      <c r="R4" s="450">
        <v>9000</v>
      </c>
    </row>
    <row r="5" spans="1:28"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row>
    <row r="6" spans="1:28"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row>
    <row r="7" spans="1:28" ht="15" customHeight="1">
      <c r="B7" s="458" t="s">
        <v>1086</v>
      </c>
      <c r="C7" s="1045">
        <v>25500</v>
      </c>
      <c r="D7" s="452"/>
      <c r="E7" s="1048">
        <f>$C$7/12</f>
        <v>2125</v>
      </c>
      <c r="F7" s="1048">
        <f t="shared" ref="F7:AB7" si="0">$C$7/12</f>
        <v>2125</v>
      </c>
      <c r="G7" s="1048">
        <f t="shared" si="0"/>
        <v>2125</v>
      </c>
      <c r="H7" s="1048">
        <f t="shared" si="0"/>
        <v>2125</v>
      </c>
      <c r="I7" s="1048">
        <f t="shared" si="0"/>
        <v>2125</v>
      </c>
      <c r="J7" s="1048">
        <f t="shared" si="0"/>
        <v>2125</v>
      </c>
      <c r="K7" s="1048">
        <f t="shared" si="0"/>
        <v>2125</v>
      </c>
      <c r="L7" s="1048">
        <f t="shared" si="0"/>
        <v>2125</v>
      </c>
      <c r="M7" s="1048">
        <f t="shared" si="0"/>
        <v>2125</v>
      </c>
      <c r="N7" s="1048">
        <f t="shared" si="0"/>
        <v>2125</v>
      </c>
      <c r="O7" s="1048">
        <f t="shared" si="0"/>
        <v>2125</v>
      </c>
      <c r="P7" s="1048">
        <f t="shared" si="0"/>
        <v>2125</v>
      </c>
      <c r="Q7" s="1048">
        <f t="shared" si="0"/>
        <v>2125</v>
      </c>
      <c r="R7" s="1048">
        <f t="shared" si="0"/>
        <v>2125</v>
      </c>
      <c r="S7" s="1048">
        <f t="shared" si="0"/>
        <v>2125</v>
      </c>
      <c r="T7" s="1048">
        <f t="shared" si="0"/>
        <v>2125</v>
      </c>
      <c r="U7" s="1048">
        <f t="shared" si="0"/>
        <v>2125</v>
      </c>
      <c r="V7" s="1048">
        <f t="shared" si="0"/>
        <v>2125</v>
      </c>
      <c r="W7" s="1048">
        <f t="shared" si="0"/>
        <v>2125</v>
      </c>
      <c r="X7" s="1048">
        <f t="shared" si="0"/>
        <v>2125</v>
      </c>
      <c r="Y7" s="1048">
        <f t="shared" si="0"/>
        <v>2125</v>
      </c>
      <c r="Z7" s="1048">
        <f t="shared" si="0"/>
        <v>2125</v>
      </c>
      <c r="AA7" s="1048">
        <f t="shared" si="0"/>
        <v>2125</v>
      </c>
      <c r="AB7" s="1048">
        <f t="shared" si="0"/>
        <v>2125</v>
      </c>
    </row>
    <row r="8" spans="1:28" ht="15" customHeight="1">
      <c r="B8" s="458"/>
      <c r="C8" s="1050"/>
      <c r="D8" s="452"/>
      <c r="E8" s="1048"/>
      <c r="F8" s="1048"/>
      <c r="G8" s="1048"/>
      <c r="H8" s="1048"/>
      <c r="I8" s="1048"/>
      <c r="J8" s="1048"/>
      <c r="K8" s="1048"/>
      <c r="L8" s="1048"/>
      <c r="M8" s="1048"/>
      <c r="N8" s="1048"/>
      <c r="O8" s="1048"/>
      <c r="P8" s="1048"/>
      <c r="Q8" s="1048"/>
      <c r="R8" s="1048"/>
      <c r="S8" s="1048"/>
      <c r="T8" s="1048"/>
      <c r="U8" s="1048"/>
      <c r="V8" s="1048"/>
      <c r="W8" s="1048"/>
      <c r="X8" s="1048"/>
      <c r="Y8" s="1048"/>
      <c r="Z8" s="1048"/>
      <c r="AA8" s="1048"/>
      <c r="AB8" s="1048"/>
    </row>
    <row r="9" spans="1:28" ht="15" customHeight="1">
      <c r="B9" s="460" t="s">
        <v>1116</v>
      </c>
      <c r="C9" s="450">
        <v>3500</v>
      </c>
      <c r="D9" s="452"/>
      <c r="E9" s="452"/>
      <c r="F9" s="452"/>
      <c r="G9" s="452"/>
      <c r="H9" s="452"/>
      <c r="Q9" s="452"/>
      <c r="R9" s="452"/>
      <c r="S9" s="452"/>
      <c r="T9" s="452"/>
    </row>
    <row r="10" spans="1:28" ht="15" customHeight="1">
      <c r="B10" s="461" t="s">
        <v>635</v>
      </c>
      <c r="C10" s="462">
        <v>0</v>
      </c>
      <c r="D10" s="452"/>
      <c r="E10" s="463">
        <f t="shared" ref="E10:P10" si="1">$C$10*$C$9*E7</f>
        <v>0</v>
      </c>
      <c r="F10" s="463">
        <f t="shared" si="1"/>
        <v>0</v>
      </c>
      <c r="G10" s="463">
        <f t="shared" si="1"/>
        <v>0</v>
      </c>
      <c r="H10" s="463">
        <f t="shared" si="1"/>
        <v>0</v>
      </c>
      <c r="I10" s="463">
        <f t="shared" si="1"/>
        <v>0</v>
      </c>
      <c r="J10" s="463">
        <f t="shared" si="1"/>
        <v>0</v>
      </c>
      <c r="K10" s="463">
        <f t="shared" si="1"/>
        <v>0</v>
      </c>
      <c r="L10" s="463">
        <f t="shared" si="1"/>
        <v>0</v>
      </c>
      <c r="M10" s="463">
        <f t="shared" si="1"/>
        <v>0</v>
      </c>
      <c r="N10" s="463">
        <f t="shared" si="1"/>
        <v>0</v>
      </c>
      <c r="O10" s="463">
        <f t="shared" si="1"/>
        <v>0</v>
      </c>
      <c r="P10" s="463">
        <f t="shared" si="1"/>
        <v>0</v>
      </c>
      <c r="Q10" s="463">
        <f>$C$10*R4*Q7</f>
        <v>0</v>
      </c>
      <c r="R10" s="463">
        <f>$C$10*R4*R7</f>
        <v>0</v>
      </c>
      <c r="S10" s="463">
        <f>$C$10*R4*S7</f>
        <v>0</v>
      </c>
      <c r="T10" s="463">
        <f>$C$10*R4*T7</f>
        <v>0</v>
      </c>
      <c r="U10" s="463">
        <f>$C$10*R4*U7</f>
        <v>0</v>
      </c>
      <c r="V10" s="463">
        <f>$C$10*R4*V7</f>
        <v>0</v>
      </c>
      <c r="W10" s="463">
        <f>$C$10*R4*W7</f>
        <v>0</v>
      </c>
      <c r="X10" s="463">
        <f>$C$10*R4*X7</f>
        <v>0</v>
      </c>
      <c r="Y10" s="463">
        <f>$C$10*R4*Y7</f>
        <v>0</v>
      </c>
      <c r="Z10" s="463">
        <f>$C$10*R4*Z7</f>
        <v>0</v>
      </c>
      <c r="AA10" s="463">
        <f>$C$10*R4*AA7</f>
        <v>0</v>
      </c>
      <c r="AB10" s="463">
        <f>$C$10*R4*AB7</f>
        <v>0</v>
      </c>
    </row>
    <row r="11" spans="1:28" ht="15" customHeight="1">
      <c r="B11" s="461" t="s">
        <v>636</v>
      </c>
      <c r="C11" s="462">
        <v>1</v>
      </c>
      <c r="D11" s="452"/>
      <c r="E11" s="463"/>
      <c r="F11" s="463">
        <f t="shared" ref="F11:P11" si="2">$C$11*$C$9*F7</f>
        <v>7437500</v>
      </c>
      <c r="G11" s="463">
        <f t="shared" si="2"/>
        <v>7437500</v>
      </c>
      <c r="H11" s="463">
        <f t="shared" si="2"/>
        <v>7437500</v>
      </c>
      <c r="I11" s="463">
        <f t="shared" si="2"/>
        <v>7437500</v>
      </c>
      <c r="J11" s="463">
        <f t="shared" si="2"/>
        <v>7437500</v>
      </c>
      <c r="K11" s="463">
        <f t="shared" si="2"/>
        <v>7437500</v>
      </c>
      <c r="L11" s="463">
        <f t="shared" si="2"/>
        <v>7437500</v>
      </c>
      <c r="M11" s="463">
        <f t="shared" si="2"/>
        <v>7437500</v>
      </c>
      <c r="N11" s="463">
        <f t="shared" si="2"/>
        <v>7437500</v>
      </c>
      <c r="O11" s="463">
        <f t="shared" si="2"/>
        <v>7437500</v>
      </c>
      <c r="P11" s="463">
        <f t="shared" si="2"/>
        <v>7437500</v>
      </c>
      <c r="Q11" s="463">
        <f>$C$11*R4*Q7</f>
        <v>19125000</v>
      </c>
      <c r="R11" s="463">
        <f>$C$11*R4*R7</f>
        <v>19125000</v>
      </c>
      <c r="S11" s="463">
        <f>$C$11*R4*S7</f>
        <v>19125000</v>
      </c>
      <c r="T11" s="463">
        <f>$C$11*R4*T7</f>
        <v>19125000</v>
      </c>
      <c r="U11" s="463">
        <f>$C$11*R4*U7</f>
        <v>19125000</v>
      </c>
      <c r="V11" s="463">
        <f>$C$11*R4*V7</f>
        <v>19125000</v>
      </c>
      <c r="W11" s="463">
        <f>$C$11*R4*W7</f>
        <v>19125000</v>
      </c>
      <c r="X11" s="463">
        <f>$C$11*R4*X7</f>
        <v>19125000</v>
      </c>
      <c r="Y11" s="463">
        <f>$C$11*R4*Y7</f>
        <v>19125000</v>
      </c>
      <c r="Z11" s="463">
        <f>$C$11*R4*Z7</f>
        <v>19125000</v>
      </c>
      <c r="AA11" s="463">
        <f>$C$11*R4*AA7</f>
        <v>19125000</v>
      </c>
      <c r="AB11" s="463">
        <f>$C$11*R4*AB7</f>
        <v>19125000</v>
      </c>
    </row>
    <row r="12" spans="1:28" ht="15" customHeight="1">
      <c r="B12" s="464" t="s">
        <v>638</v>
      </c>
      <c r="C12" s="465">
        <v>0</v>
      </c>
      <c r="D12" s="466"/>
      <c r="E12" s="467"/>
      <c r="F12" s="467"/>
      <c r="G12" s="467"/>
      <c r="H12" s="467">
        <f t="shared" ref="H12:P12" si="3">$C$12*$C$9*H7</f>
        <v>0</v>
      </c>
      <c r="I12" s="467">
        <f t="shared" si="3"/>
        <v>0</v>
      </c>
      <c r="J12" s="467">
        <f t="shared" si="3"/>
        <v>0</v>
      </c>
      <c r="K12" s="467">
        <f t="shared" si="3"/>
        <v>0</v>
      </c>
      <c r="L12" s="467">
        <f t="shared" si="3"/>
        <v>0</v>
      </c>
      <c r="M12" s="467">
        <f t="shared" si="3"/>
        <v>0</v>
      </c>
      <c r="N12" s="467">
        <f t="shared" si="3"/>
        <v>0</v>
      </c>
      <c r="O12" s="467">
        <f t="shared" si="3"/>
        <v>0</v>
      </c>
      <c r="P12" s="467">
        <f t="shared" si="3"/>
        <v>0</v>
      </c>
      <c r="Q12" s="467">
        <f>$C$12*R4*Q7</f>
        <v>0</v>
      </c>
      <c r="R12" s="467">
        <f>$C$12*R4*R7</f>
        <v>0</v>
      </c>
      <c r="S12" s="467">
        <f>$C$12*R4*S7</f>
        <v>0</v>
      </c>
      <c r="T12" s="467">
        <f>$C$12*R4*T7</f>
        <v>0</v>
      </c>
      <c r="U12" s="467">
        <f>$C$12*R4*U7</f>
        <v>0</v>
      </c>
      <c r="V12" s="467">
        <f>$C$12*R4*V7</f>
        <v>0</v>
      </c>
      <c r="W12" s="467">
        <f>$C$12*R4*W7</f>
        <v>0</v>
      </c>
      <c r="X12" s="467">
        <f>$C$12*R4*X7</f>
        <v>0</v>
      </c>
      <c r="Y12" s="467">
        <f>$C$12*R4*Y7</f>
        <v>0</v>
      </c>
      <c r="Z12" s="467">
        <f>$C$12*R4*Z7</f>
        <v>0</v>
      </c>
      <c r="AA12" s="467">
        <f>$C$12*R4*AA7</f>
        <v>0</v>
      </c>
      <c r="AB12" s="467">
        <f>$C$12*R4*AB7</f>
        <v>0</v>
      </c>
    </row>
    <row r="13" spans="1:28" ht="15" customHeight="1">
      <c r="B13" s="461"/>
      <c r="C13" s="468">
        <f>SUM(C10:C12)</f>
        <v>1</v>
      </c>
      <c r="D13" s="452"/>
      <c r="E13" s="463">
        <f>SUM(E8:E12)</f>
        <v>0</v>
      </c>
      <c r="F13" s="463">
        <f>SUM(F8:F12)</f>
        <v>7437500</v>
      </c>
      <c r="G13" s="463">
        <f t="shared" ref="G13:AB13" si="4">SUM(G8:G12)</f>
        <v>7437500</v>
      </c>
      <c r="H13" s="463">
        <f t="shared" si="4"/>
        <v>7437500</v>
      </c>
      <c r="I13" s="463">
        <f t="shared" si="4"/>
        <v>7437500</v>
      </c>
      <c r="J13" s="463">
        <f t="shared" si="4"/>
        <v>7437500</v>
      </c>
      <c r="K13" s="463">
        <f t="shared" si="4"/>
        <v>7437500</v>
      </c>
      <c r="L13" s="463">
        <f t="shared" si="4"/>
        <v>7437500</v>
      </c>
      <c r="M13" s="463">
        <f t="shared" si="4"/>
        <v>7437500</v>
      </c>
      <c r="N13" s="463">
        <f t="shared" si="4"/>
        <v>7437500</v>
      </c>
      <c r="O13" s="463">
        <f t="shared" si="4"/>
        <v>7437500</v>
      </c>
      <c r="P13" s="463">
        <f t="shared" si="4"/>
        <v>7437500</v>
      </c>
      <c r="Q13" s="463">
        <f t="shared" si="4"/>
        <v>19125000</v>
      </c>
      <c r="R13" s="463">
        <f t="shared" si="4"/>
        <v>19125000</v>
      </c>
      <c r="S13" s="463">
        <f t="shared" si="4"/>
        <v>19125000</v>
      </c>
      <c r="T13" s="463">
        <f t="shared" si="4"/>
        <v>19125000</v>
      </c>
      <c r="U13" s="463">
        <f t="shared" si="4"/>
        <v>19125000</v>
      </c>
      <c r="V13" s="463">
        <f t="shared" si="4"/>
        <v>19125000</v>
      </c>
      <c r="W13" s="463">
        <f t="shared" si="4"/>
        <v>19125000</v>
      </c>
      <c r="X13" s="463">
        <f t="shared" si="4"/>
        <v>19125000</v>
      </c>
      <c r="Y13" s="463">
        <f t="shared" si="4"/>
        <v>19125000</v>
      </c>
      <c r="Z13" s="463">
        <f t="shared" si="4"/>
        <v>19125000</v>
      </c>
      <c r="AA13" s="463">
        <f t="shared" si="4"/>
        <v>19125000</v>
      </c>
      <c r="AB13" s="463">
        <f t="shared" si="4"/>
        <v>19125000</v>
      </c>
    </row>
    <row r="14" spans="1:28" ht="15" customHeight="1">
      <c r="B14" s="453" t="s">
        <v>639</v>
      </c>
      <c r="C14" s="452"/>
      <c r="D14" s="452"/>
      <c r="E14" s="452"/>
      <c r="F14" s="452"/>
      <c r="G14" s="452"/>
      <c r="H14" s="452"/>
      <c r="J14" s="469"/>
      <c r="K14" s="469"/>
      <c r="L14" s="469"/>
      <c r="M14" s="469"/>
      <c r="N14" s="469"/>
      <c r="Q14" s="452"/>
      <c r="R14" s="452"/>
      <c r="S14" s="452"/>
      <c r="T14" s="452"/>
      <c r="V14" s="469"/>
      <c r="W14" s="469"/>
      <c r="X14" s="469"/>
      <c r="Y14" s="469"/>
      <c r="Z14" s="469"/>
    </row>
    <row r="15" spans="1:28" ht="15" customHeight="1">
      <c r="B15" s="630" t="s">
        <v>640</v>
      </c>
      <c r="C15" s="470">
        <v>0.05</v>
      </c>
      <c r="D15" s="452"/>
      <c r="E15" s="471">
        <f>-E13*0.3*$C$15</f>
        <v>0</v>
      </c>
      <c r="F15" s="471">
        <f>-F13*0.3*$C$15</f>
        <v>-111562.5</v>
      </c>
      <c r="G15" s="471">
        <f t="shared" ref="G15:AB15" si="5">-G13*0.3*$C$15</f>
        <v>-111562.5</v>
      </c>
      <c r="H15" s="471">
        <f t="shared" si="5"/>
        <v>-111562.5</v>
      </c>
      <c r="I15" s="471">
        <f t="shared" si="5"/>
        <v>-111562.5</v>
      </c>
      <c r="J15" s="471">
        <f t="shared" si="5"/>
        <v>-111562.5</v>
      </c>
      <c r="K15" s="471">
        <f t="shared" si="5"/>
        <v>-111562.5</v>
      </c>
      <c r="L15" s="471">
        <f t="shared" si="5"/>
        <v>-111562.5</v>
      </c>
      <c r="M15" s="471">
        <f t="shared" si="5"/>
        <v>-111562.5</v>
      </c>
      <c r="N15" s="471">
        <f t="shared" si="5"/>
        <v>-111562.5</v>
      </c>
      <c r="O15" s="471">
        <f t="shared" si="5"/>
        <v>-111562.5</v>
      </c>
      <c r="P15" s="471">
        <f t="shared" si="5"/>
        <v>-111562.5</v>
      </c>
      <c r="Q15" s="471">
        <f t="shared" si="5"/>
        <v>-286875</v>
      </c>
      <c r="R15" s="471">
        <f t="shared" si="5"/>
        <v>-286875</v>
      </c>
      <c r="S15" s="471">
        <f t="shared" si="5"/>
        <v>-286875</v>
      </c>
      <c r="T15" s="471">
        <f t="shared" si="5"/>
        <v>-286875</v>
      </c>
      <c r="U15" s="471">
        <f t="shared" si="5"/>
        <v>-286875</v>
      </c>
      <c r="V15" s="471">
        <f t="shared" si="5"/>
        <v>-286875</v>
      </c>
      <c r="W15" s="471">
        <f t="shared" si="5"/>
        <v>-286875</v>
      </c>
      <c r="X15" s="471">
        <f t="shared" si="5"/>
        <v>-286875</v>
      </c>
      <c r="Y15" s="471">
        <f t="shared" si="5"/>
        <v>-286875</v>
      </c>
      <c r="Z15" s="471">
        <f t="shared" si="5"/>
        <v>-286875</v>
      </c>
      <c r="AA15" s="471">
        <f t="shared" si="5"/>
        <v>-286875</v>
      </c>
      <c r="AB15" s="471">
        <f t="shared" si="5"/>
        <v>-286875</v>
      </c>
    </row>
    <row r="16" spans="1:28" ht="15" customHeight="1">
      <c r="B16" s="629" t="s">
        <v>1094</v>
      </c>
      <c r="C16" s="473">
        <v>3.5000000000000003E-2</v>
      </c>
      <c r="D16" s="472"/>
      <c r="E16" s="474"/>
      <c r="F16" s="474">
        <f>-F13*$C$16</f>
        <v>-260312.50000000003</v>
      </c>
      <c r="G16" s="474">
        <f t="shared" ref="G16:P16" si="6">-G13*(0.35)*$C$16</f>
        <v>-91109.375000000015</v>
      </c>
      <c r="H16" s="474">
        <f t="shared" si="6"/>
        <v>-91109.375000000015</v>
      </c>
      <c r="I16" s="474">
        <f t="shared" si="6"/>
        <v>-91109.375000000015</v>
      </c>
      <c r="J16" s="474">
        <f t="shared" si="6"/>
        <v>-91109.375000000015</v>
      </c>
      <c r="K16" s="474">
        <f t="shared" si="6"/>
        <v>-91109.375000000015</v>
      </c>
      <c r="L16" s="474">
        <f t="shared" si="6"/>
        <v>-91109.375000000015</v>
      </c>
      <c r="M16" s="474">
        <f t="shared" si="6"/>
        <v>-91109.375000000015</v>
      </c>
      <c r="N16" s="474">
        <f t="shared" si="6"/>
        <v>-91109.375000000015</v>
      </c>
      <c r="O16" s="474">
        <f t="shared" si="6"/>
        <v>-91109.375000000015</v>
      </c>
      <c r="P16" s="474">
        <f t="shared" si="6"/>
        <v>-91109.375000000015</v>
      </c>
      <c r="Q16" s="474">
        <f>-Q13*(0.35)*$C$16</f>
        <v>-234281.25000000003</v>
      </c>
      <c r="R16" s="474">
        <f t="shared" ref="R16:AB16" si="7">-R13*(0.35)*$C$16</f>
        <v>-234281.25000000003</v>
      </c>
      <c r="S16" s="474">
        <f t="shared" si="7"/>
        <v>-234281.25000000003</v>
      </c>
      <c r="T16" s="474">
        <f t="shared" si="7"/>
        <v>-234281.25000000003</v>
      </c>
      <c r="U16" s="474">
        <f t="shared" si="7"/>
        <v>-234281.25000000003</v>
      </c>
      <c r="V16" s="474">
        <f t="shared" si="7"/>
        <v>-234281.25000000003</v>
      </c>
      <c r="W16" s="474">
        <f t="shared" si="7"/>
        <v>-234281.25000000003</v>
      </c>
      <c r="X16" s="474">
        <f t="shared" si="7"/>
        <v>-234281.25000000003</v>
      </c>
      <c r="Y16" s="474">
        <f t="shared" si="7"/>
        <v>-234281.25000000003</v>
      </c>
      <c r="Z16" s="474">
        <f t="shared" si="7"/>
        <v>-234281.25000000003</v>
      </c>
      <c r="AA16" s="474">
        <f t="shared" si="7"/>
        <v>-234281.25000000003</v>
      </c>
      <c r="AB16" s="474">
        <f t="shared" si="7"/>
        <v>-234281.25000000003</v>
      </c>
    </row>
    <row r="17" spans="2:28" ht="15" customHeight="1">
      <c r="B17" s="452"/>
      <c r="C17" s="452"/>
      <c r="D17" s="452"/>
      <c r="E17" s="463">
        <f>SUM(E13:E16)</f>
        <v>0</v>
      </c>
      <c r="F17" s="463">
        <f t="shared" ref="F17:P17" si="8">SUM(F13:F16)</f>
        <v>7065625</v>
      </c>
      <c r="G17" s="463">
        <f t="shared" si="8"/>
        <v>7234828.125</v>
      </c>
      <c r="H17" s="463">
        <f t="shared" si="8"/>
        <v>7234828.125</v>
      </c>
      <c r="I17" s="463">
        <f t="shared" si="8"/>
        <v>7234828.125</v>
      </c>
      <c r="J17" s="463">
        <f t="shared" si="8"/>
        <v>7234828.125</v>
      </c>
      <c r="K17" s="463">
        <f t="shared" si="8"/>
        <v>7234828.125</v>
      </c>
      <c r="L17" s="463">
        <f t="shared" si="8"/>
        <v>7234828.125</v>
      </c>
      <c r="M17" s="463">
        <f t="shared" si="8"/>
        <v>7234828.125</v>
      </c>
      <c r="N17" s="463">
        <f t="shared" si="8"/>
        <v>7234828.125</v>
      </c>
      <c r="O17" s="463">
        <f t="shared" si="8"/>
        <v>7234828.125</v>
      </c>
      <c r="P17" s="463">
        <f t="shared" si="8"/>
        <v>7234828.125</v>
      </c>
      <c r="Q17" s="463">
        <f>SUM(Q13:Q16)</f>
        <v>18603843.75</v>
      </c>
      <c r="R17" s="463">
        <f t="shared" ref="R17:AB17" si="9">SUM(R13:R16)</f>
        <v>18603843.75</v>
      </c>
      <c r="S17" s="463">
        <f t="shared" si="9"/>
        <v>18603843.75</v>
      </c>
      <c r="T17" s="463">
        <f t="shared" si="9"/>
        <v>18603843.75</v>
      </c>
      <c r="U17" s="463">
        <f t="shared" si="9"/>
        <v>18603843.75</v>
      </c>
      <c r="V17" s="463">
        <f t="shared" si="9"/>
        <v>18603843.75</v>
      </c>
      <c r="W17" s="463">
        <f t="shared" si="9"/>
        <v>18603843.75</v>
      </c>
      <c r="X17" s="463">
        <f t="shared" si="9"/>
        <v>18603843.75</v>
      </c>
      <c r="Y17" s="463">
        <f t="shared" si="9"/>
        <v>18603843.75</v>
      </c>
      <c r="Z17" s="463">
        <f t="shared" si="9"/>
        <v>18603843.75</v>
      </c>
      <c r="AA17" s="463">
        <f t="shared" si="9"/>
        <v>18603843.75</v>
      </c>
      <c r="AB17" s="463">
        <f t="shared" si="9"/>
        <v>18603843.75</v>
      </c>
    </row>
    <row r="18" spans="2:28" ht="15" customHeight="1">
      <c r="B18" s="452"/>
      <c r="C18" s="452"/>
      <c r="D18" s="452"/>
      <c r="E18" s="452"/>
      <c r="F18" s="452"/>
      <c r="G18" s="452"/>
      <c r="H18" s="452"/>
      <c r="J18" s="469"/>
      <c r="K18" s="469"/>
      <c r="L18" s="469"/>
      <c r="M18" s="469"/>
      <c r="N18" s="469"/>
      <c r="Q18" s="452"/>
      <c r="R18" s="452"/>
      <c r="S18" s="452"/>
      <c r="T18" s="452"/>
      <c r="V18" s="469"/>
      <c r="W18" s="469"/>
      <c r="X18" s="469"/>
      <c r="Y18" s="469"/>
      <c r="Z18" s="469"/>
    </row>
    <row r="19" spans="2:28" ht="15" customHeight="1">
      <c r="B19" s="452"/>
      <c r="C19" s="452"/>
      <c r="D19" s="452"/>
      <c r="E19" s="1727" t="s">
        <v>451</v>
      </c>
      <c r="F19" s="1727"/>
      <c r="G19" s="1727"/>
      <c r="H19" s="1727"/>
      <c r="I19" s="1727"/>
      <c r="J19" s="1727"/>
      <c r="K19" s="1727"/>
      <c r="L19" s="1727"/>
      <c r="M19" s="1727"/>
      <c r="N19" s="1727"/>
      <c r="O19" s="1727"/>
      <c r="P19" s="1727"/>
      <c r="Q19" s="1727" t="s">
        <v>632</v>
      </c>
      <c r="R19" s="1727"/>
      <c r="S19" s="1727"/>
      <c r="T19" s="1727"/>
      <c r="U19" s="1727"/>
      <c r="V19" s="1727"/>
      <c r="W19" s="1727"/>
      <c r="X19" s="1727"/>
      <c r="Y19" s="1727"/>
      <c r="Z19" s="1727"/>
      <c r="AA19" s="1727"/>
      <c r="AB19" s="1727"/>
    </row>
    <row r="20" spans="2:28" ht="15" customHeight="1">
      <c r="B20" s="451" t="s">
        <v>451</v>
      </c>
      <c r="C20" s="452"/>
      <c r="D20" s="475">
        <v>0</v>
      </c>
      <c r="E20" s="475">
        <v>1</v>
      </c>
      <c r="F20" s="475">
        <v>2</v>
      </c>
      <c r="G20" s="475">
        <v>3</v>
      </c>
      <c r="H20" s="475">
        <v>4</v>
      </c>
      <c r="I20" s="475">
        <v>5</v>
      </c>
      <c r="J20" s="475">
        <v>6</v>
      </c>
      <c r="K20" s="475">
        <v>7</v>
      </c>
      <c r="L20" s="475">
        <v>8</v>
      </c>
      <c r="M20" s="475">
        <v>9</v>
      </c>
      <c r="N20" s="475">
        <v>10</v>
      </c>
      <c r="O20" s="475">
        <v>11</v>
      </c>
      <c r="P20" s="475">
        <v>12</v>
      </c>
      <c r="Q20" s="475">
        <v>13</v>
      </c>
      <c r="R20" s="475">
        <v>14</v>
      </c>
      <c r="S20" s="475">
        <v>15</v>
      </c>
      <c r="T20" s="475">
        <v>16</v>
      </c>
      <c r="U20" s="475">
        <v>17</v>
      </c>
      <c r="V20" s="475">
        <v>18</v>
      </c>
      <c r="W20" s="475">
        <v>19</v>
      </c>
      <c r="X20" s="475">
        <v>20</v>
      </c>
      <c r="Y20" s="475">
        <v>21</v>
      </c>
      <c r="Z20" s="475">
        <v>22</v>
      </c>
      <c r="AA20" s="475">
        <v>23</v>
      </c>
      <c r="AB20" s="475">
        <v>24</v>
      </c>
    </row>
    <row r="21" spans="2:28" ht="15" customHeight="1">
      <c r="B21" s="476" t="s">
        <v>641</v>
      </c>
      <c r="C21" s="452"/>
      <c r="D21" s="452"/>
      <c r="E21" s="452"/>
      <c r="F21" s="452"/>
      <c r="G21" s="452"/>
      <c r="H21" s="452"/>
      <c r="J21" s="469"/>
      <c r="K21" s="469"/>
      <c r="L21" s="469"/>
      <c r="M21" s="469"/>
      <c r="N21" s="469"/>
      <c r="Q21" s="452"/>
      <c r="R21" s="452"/>
      <c r="S21" s="452"/>
      <c r="T21" s="452"/>
      <c r="V21" s="469"/>
      <c r="W21" s="469"/>
      <c r="X21" s="469"/>
      <c r="Y21" s="469"/>
      <c r="Z21" s="469"/>
    </row>
    <row r="22" spans="2:28" ht="15" customHeight="1">
      <c r="B22" s="452" t="s">
        <v>184</v>
      </c>
      <c r="C22" s="452"/>
      <c r="D22" s="452"/>
      <c r="E22" s="463">
        <f>E17</f>
        <v>0</v>
      </c>
      <c r="F22" s="463">
        <f t="shared" ref="F22:AB22" si="10">F17</f>
        <v>7065625</v>
      </c>
      <c r="G22" s="463">
        <f t="shared" si="10"/>
        <v>7234828.125</v>
      </c>
      <c r="H22" s="463">
        <f t="shared" si="10"/>
        <v>7234828.125</v>
      </c>
      <c r="I22" s="463">
        <f t="shared" si="10"/>
        <v>7234828.125</v>
      </c>
      <c r="J22" s="463">
        <f t="shared" si="10"/>
        <v>7234828.125</v>
      </c>
      <c r="K22" s="463">
        <f t="shared" si="10"/>
        <v>7234828.125</v>
      </c>
      <c r="L22" s="463">
        <f t="shared" si="10"/>
        <v>7234828.125</v>
      </c>
      <c r="M22" s="463">
        <f t="shared" si="10"/>
        <v>7234828.125</v>
      </c>
      <c r="N22" s="463">
        <f t="shared" si="10"/>
        <v>7234828.125</v>
      </c>
      <c r="O22" s="463">
        <f t="shared" si="10"/>
        <v>7234828.125</v>
      </c>
      <c r="P22" s="463">
        <f t="shared" si="10"/>
        <v>7234828.125</v>
      </c>
      <c r="Q22" s="463">
        <f t="shared" si="10"/>
        <v>18603843.75</v>
      </c>
      <c r="R22" s="463">
        <f t="shared" si="10"/>
        <v>18603843.75</v>
      </c>
      <c r="S22" s="463">
        <f t="shared" si="10"/>
        <v>18603843.75</v>
      </c>
      <c r="T22" s="463">
        <f t="shared" si="10"/>
        <v>18603843.75</v>
      </c>
      <c r="U22" s="463">
        <f t="shared" si="10"/>
        <v>18603843.75</v>
      </c>
      <c r="V22" s="463">
        <f t="shared" si="10"/>
        <v>18603843.75</v>
      </c>
      <c r="W22" s="463">
        <f t="shared" si="10"/>
        <v>18603843.75</v>
      </c>
      <c r="X22" s="463">
        <f t="shared" si="10"/>
        <v>18603843.75</v>
      </c>
      <c r="Y22" s="463">
        <f t="shared" si="10"/>
        <v>18603843.75</v>
      </c>
      <c r="Z22" s="463">
        <f t="shared" si="10"/>
        <v>18603843.75</v>
      </c>
      <c r="AA22" s="463">
        <f t="shared" si="10"/>
        <v>18603843.75</v>
      </c>
      <c r="AB22" s="463">
        <f t="shared" si="10"/>
        <v>18603843.75</v>
      </c>
    </row>
    <row r="23" spans="2:28" ht="15" customHeight="1">
      <c r="B23" s="452"/>
      <c r="C23" s="452"/>
      <c r="D23" s="452"/>
      <c r="E23" s="463"/>
      <c r="F23" s="463"/>
      <c r="G23" s="463"/>
      <c r="H23" s="463"/>
      <c r="I23" s="463"/>
      <c r="J23" s="463"/>
      <c r="K23" s="463"/>
      <c r="L23" s="463"/>
      <c r="M23" s="463"/>
      <c r="N23" s="463"/>
      <c r="O23" s="463"/>
      <c r="P23" s="463"/>
      <c r="Q23" s="463"/>
      <c r="R23" s="463"/>
      <c r="S23" s="463"/>
      <c r="T23" s="463"/>
      <c r="U23" s="463"/>
      <c r="V23" s="463"/>
      <c r="W23" s="463"/>
      <c r="X23" s="463"/>
      <c r="Y23" s="463"/>
      <c r="Z23" s="463"/>
      <c r="AA23" s="463"/>
      <c r="AB23" s="463"/>
    </row>
    <row r="24" spans="2:28" s="479" customFormat="1" ht="15" customHeight="1">
      <c r="B24" s="458" t="s">
        <v>642</v>
      </c>
      <c r="C24" s="707">
        <v>25500</v>
      </c>
      <c r="D24" s="478"/>
      <c r="E24" s="478">
        <f>$C$24/12</f>
        <v>2125</v>
      </c>
      <c r="F24" s="478">
        <f t="shared" ref="F24:AB24" si="11">$C$24/12</f>
        <v>2125</v>
      </c>
      <c r="G24" s="478">
        <f t="shared" si="11"/>
        <v>2125</v>
      </c>
      <c r="H24" s="478">
        <f t="shared" si="11"/>
        <v>2125</v>
      </c>
      <c r="I24" s="478">
        <f t="shared" si="11"/>
        <v>2125</v>
      </c>
      <c r="J24" s="478">
        <f t="shared" si="11"/>
        <v>2125</v>
      </c>
      <c r="K24" s="478">
        <f t="shared" si="11"/>
        <v>2125</v>
      </c>
      <c r="L24" s="478">
        <f t="shared" si="11"/>
        <v>2125</v>
      </c>
      <c r="M24" s="478">
        <f t="shared" si="11"/>
        <v>2125</v>
      </c>
      <c r="N24" s="478">
        <f t="shared" si="11"/>
        <v>2125</v>
      </c>
      <c r="O24" s="478">
        <f t="shared" si="11"/>
        <v>2125</v>
      </c>
      <c r="P24" s="478">
        <f t="shared" si="11"/>
        <v>2125</v>
      </c>
      <c r="Q24" s="478">
        <f>$C$24/12</f>
        <v>2125</v>
      </c>
      <c r="R24" s="478">
        <f t="shared" si="11"/>
        <v>2125</v>
      </c>
      <c r="S24" s="478">
        <f t="shared" si="11"/>
        <v>2125</v>
      </c>
      <c r="T24" s="478">
        <f t="shared" si="11"/>
        <v>2125</v>
      </c>
      <c r="U24" s="478">
        <f t="shared" si="11"/>
        <v>2125</v>
      </c>
      <c r="V24" s="478">
        <f t="shared" si="11"/>
        <v>2125</v>
      </c>
      <c r="W24" s="478">
        <f t="shared" si="11"/>
        <v>2125</v>
      </c>
      <c r="X24" s="478">
        <f t="shared" si="11"/>
        <v>2125</v>
      </c>
      <c r="Y24" s="478">
        <f t="shared" si="11"/>
        <v>2125</v>
      </c>
      <c r="Z24" s="478">
        <f t="shared" si="11"/>
        <v>2125</v>
      </c>
      <c r="AA24" s="478">
        <f t="shared" si="11"/>
        <v>2125</v>
      </c>
      <c r="AB24" s="478">
        <f t="shared" si="11"/>
        <v>2125</v>
      </c>
    </row>
    <row r="25" spans="2:28" ht="15" customHeight="1">
      <c r="B25" s="476" t="s">
        <v>643</v>
      </c>
      <c r="C25" s="452"/>
      <c r="D25" s="452"/>
      <c r="E25" s="452"/>
      <c r="F25" s="452"/>
      <c r="G25" s="452"/>
      <c r="H25" s="452"/>
      <c r="J25" s="469"/>
      <c r="K25" s="469"/>
      <c r="L25" s="469"/>
      <c r="M25" s="469"/>
      <c r="N25" s="469"/>
      <c r="Q25" s="452"/>
      <c r="R25" s="452"/>
      <c r="S25" s="452"/>
      <c r="T25" s="452"/>
      <c r="V25" s="469"/>
      <c r="W25" s="469"/>
      <c r="X25" s="469"/>
      <c r="Y25" s="469"/>
      <c r="Z25" s="469"/>
    </row>
    <row r="26" spans="2:28" ht="15" customHeight="1">
      <c r="B26" s="480" t="s">
        <v>644</v>
      </c>
      <c r="C26" s="452"/>
      <c r="D26" s="452"/>
      <c r="E26" s="452"/>
      <c r="F26" s="452"/>
      <c r="G26" s="452"/>
      <c r="H26" s="452"/>
      <c r="J26" s="469"/>
      <c r="K26" s="469"/>
      <c r="L26" s="469"/>
      <c r="M26" s="469"/>
      <c r="N26" s="469"/>
      <c r="Q26" s="452"/>
      <c r="R26" s="452"/>
      <c r="S26" s="452"/>
      <c r="T26" s="452"/>
      <c r="V26" s="469"/>
      <c r="W26" s="469"/>
      <c r="X26" s="469"/>
      <c r="Y26" s="469"/>
      <c r="Z26" s="469"/>
    </row>
    <row r="27" spans="2:28">
      <c r="B27" s="452" t="s">
        <v>598</v>
      </c>
      <c r="C27" s="450"/>
      <c r="D27" s="452"/>
      <c r="E27" s="471">
        <f>-$C27*$E$24</f>
        <v>0</v>
      </c>
      <c r="F27" s="471">
        <f t="shared" ref="F27:P27" si="12">-$C27*F24</f>
        <v>0</v>
      </c>
      <c r="G27" s="471">
        <f t="shared" si="12"/>
        <v>0</v>
      </c>
      <c r="H27" s="471">
        <f t="shared" si="12"/>
        <v>0</v>
      </c>
      <c r="I27" s="471">
        <f t="shared" si="12"/>
        <v>0</v>
      </c>
      <c r="J27" s="471">
        <f t="shared" si="12"/>
        <v>0</v>
      </c>
      <c r="K27" s="471">
        <f t="shared" si="12"/>
        <v>0</v>
      </c>
      <c r="L27" s="471">
        <f t="shared" si="12"/>
        <v>0</v>
      </c>
      <c r="M27" s="471">
        <f t="shared" si="12"/>
        <v>0</v>
      </c>
      <c r="N27" s="471">
        <f t="shared" si="12"/>
        <v>0</v>
      </c>
      <c r="O27" s="471">
        <f t="shared" si="12"/>
        <v>0</v>
      </c>
      <c r="P27" s="471">
        <f t="shared" si="12"/>
        <v>0</v>
      </c>
      <c r="Q27" s="471">
        <f>-$C27*Q24</f>
        <v>0</v>
      </c>
      <c r="R27" s="471">
        <f t="shared" ref="R27:AB27" si="13">-$C27*R24</f>
        <v>0</v>
      </c>
      <c r="S27" s="471">
        <f t="shared" si="13"/>
        <v>0</v>
      </c>
      <c r="T27" s="471">
        <f t="shared" si="13"/>
        <v>0</v>
      </c>
      <c r="U27" s="471">
        <f t="shared" si="13"/>
        <v>0</v>
      </c>
      <c r="V27" s="471">
        <f t="shared" si="13"/>
        <v>0</v>
      </c>
      <c r="W27" s="471">
        <f t="shared" si="13"/>
        <v>0</v>
      </c>
      <c r="X27" s="471">
        <f t="shared" si="13"/>
        <v>0</v>
      </c>
      <c r="Y27" s="471">
        <f t="shared" si="13"/>
        <v>0</v>
      </c>
      <c r="Z27" s="471">
        <f t="shared" si="13"/>
        <v>0</v>
      </c>
      <c r="AA27" s="471">
        <f t="shared" si="13"/>
        <v>0</v>
      </c>
      <c r="AB27" s="471">
        <f t="shared" si="13"/>
        <v>0</v>
      </c>
    </row>
    <row r="28" spans="2:28">
      <c r="B28" s="452" t="s">
        <v>645</v>
      </c>
      <c r="C28" s="450"/>
      <c r="D28" s="452"/>
      <c r="E28" s="471">
        <f>-$C28*$E$24</f>
        <v>0</v>
      </c>
      <c r="F28" s="471">
        <f t="shared" ref="F28:P28" si="14">-$C28*F24</f>
        <v>0</v>
      </c>
      <c r="G28" s="471">
        <f t="shared" si="14"/>
        <v>0</v>
      </c>
      <c r="H28" s="471">
        <f t="shared" si="14"/>
        <v>0</v>
      </c>
      <c r="I28" s="471">
        <f t="shared" si="14"/>
        <v>0</v>
      </c>
      <c r="J28" s="471">
        <f t="shared" si="14"/>
        <v>0</v>
      </c>
      <c r="K28" s="471">
        <f t="shared" si="14"/>
        <v>0</v>
      </c>
      <c r="L28" s="471">
        <f t="shared" si="14"/>
        <v>0</v>
      </c>
      <c r="M28" s="471">
        <f t="shared" si="14"/>
        <v>0</v>
      </c>
      <c r="N28" s="471">
        <f t="shared" si="14"/>
        <v>0</v>
      </c>
      <c r="O28" s="471">
        <f t="shared" si="14"/>
        <v>0</v>
      </c>
      <c r="P28" s="471">
        <f t="shared" si="14"/>
        <v>0</v>
      </c>
      <c r="Q28" s="471">
        <f>-$C28*Q24</f>
        <v>0</v>
      </c>
      <c r="R28" s="471">
        <f t="shared" ref="R28:AB28" si="15">-$C28*R24</f>
        <v>0</v>
      </c>
      <c r="S28" s="471">
        <f t="shared" si="15"/>
        <v>0</v>
      </c>
      <c r="T28" s="471">
        <f t="shared" si="15"/>
        <v>0</v>
      </c>
      <c r="U28" s="471">
        <f t="shared" si="15"/>
        <v>0</v>
      </c>
      <c r="V28" s="471">
        <f t="shared" si="15"/>
        <v>0</v>
      </c>
      <c r="W28" s="471">
        <f t="shared" si="15"/>
        <v>0</v>
      </c>
      <c r="X28" s="471">
        <f t="shared" si="15"/>
        <v>0</v>
      </c>
      <c r="Y28" s="471">
        <f t="shared" si="15"/>
        <v>0</v>
      </c>
      <c r="Z28" s="471">
        <f t="shared" si="15"/>
        <v>0</v>
      </c>
      <c r="AA28" s="471">
        <f t="shared" si="15"/>
        <v>0</v>
      </c>
      <c r="AB28" s="471">
        <f t="shared" si="15"/>
        <v>0</v>
      </c>
    </row>
    <row r="29" spans="2:28">
      <c r="B29" s="452" t="s">
        <v>600</v>
      </c>
      <c r="C29" s="450"/>
      <c r="D29" s="452"/>
      <c r="E29" s="471">
        <f>-$C29*$E$24</f>
        <v>0</v>
      </c>
      <c r="F29" s="471">
        <f t="shared" ref="F29:P29" si="16">-$C29*F24</f>
        <v>0</v>
      </c>
      <c r="G29" s="471">
        <f t="shared" si="16"/>
        <v>0</v>
      </c>
      <c r="H29" s="471">
        <f t="shared" si="16"/>
        <v>0</v>
      </c>
      <c r="I29" s="471">
        <f t="shared" si="16"/>
        <v>0</v>
      </c>
      <c r="J29" s="471">
        <f t="shared" si="16"/>
        <v>0</v>
      </c>
      <c r="K29" s="471">
        <f t="shared" si="16"/>
        <v>0</v>
      </c>
      <c r="L29" s="471">
        <f t="shared" si="16"/>
        <v>0</v>
      </c>
      <c r="M29" s="471">
        <f t="shared" si="16"/>
        <v>0</v>
      </c>
      <c r="N29" s="471">
        <f t="shared" si="16"/>
        <v>0</v>
      </c>
      <c r="O29" s="471">
        <f t="shared" si="16"/>
        <v>0</v>
      </c>
      <c r="P29" s="471">
        <f t="shared" si="16"/>
        <v>0</v>
      </c>
      <c r="Q29" s="471">
        <f>-$C29*Q24</f>
        <v>0</v>
      </c>
      <c r="R29" s="471">
        <f t="shared" ref="R29:AB29" si="17">-$C29*R24</f>
        <v>0</v>
      </c>
      <c r="S29" s="471">
        <f t="shared" si="17"/>
        <v>0</v>
      </c>
      <c r="T29" s="471">
        <f t="shared" si="17"/>
        <v>0</v>
      </c>
      <c r="U29" s="471">
        <f t="shared" si="17"/>
        <v>0</v>
      </c>
      <c r="V29" s="471">
        <f t="shared" si="17"/>
        <v>0</v>
      </c>
      <c r="W29" s="471">
        <f t="shared" si="17"/>
        <v>0</v>
      </c>
      <c r="X29" s="471">
        <f t="shared" si="17"/>
        <v>0</v>
      </c>
      <c r="Y29" s="471">
        <f t="shared" si="17"/>
        <v>0</v>
      </c>
      <c r="Z29" s="471">
        <f t="shared" si="17"/>
        <v>0</v>
      </c>
      <c r="AA29" s="471">
        <f t="shared" si="17"/>
        <v>0</v>
      </c>
      <c r="AB29" s="471">
        <f t="shared" si="17"/>
        <v>0</v>
      </c>
    </row>
    <row r="30" spans="2:28">
      <c r="B30" s="452" t="s">
        <v>181</v>
      </c>
      <c r="C30" s="450"/>
      <c r="D30" s="452"/>
      <c r="E30" s="471">
        <f>-$C30*$E$24</f>
        <v>0</v>
      </c>
      <c r="F30" s="471">
        <f t="shared" ref="F30:T30" si="18">-$C30*$E$24</f>
        <v>0</v>
      </c>
      <c r="G30" s="471">
        <f t="shared" si="18"/>
        <v>0</v>
      </c>
      <c r="H30" s="471">
        <f t="shared" si="18"/>
        <v>0</v>
      </c>
      <c r="I30" s="471">
        <f t="shared" si="18"/>
        <v>0</v>
      </c>
      <c r="J30" s="471">
        <f t="shared" si="18"/>
        <v>0</v>
      </c>
      <c r="K30" s="471">
        <f t="shared" si="18"/>
        <v>0</v>
      </c>
      <c r="L30" s="471">
        <f t="shared" si="18"/>
        <v>0</v>
      </c>
      <c r="M30" s="471">
        <f t="shared" si="18"/>
        <v>0</v>
      </c>
      <c r="N30" s="471">
        <f t="shared" si="18"/>
        <v>0</v>
      </c>
      <c r="O30" s="471">
        <f t="shared" si="18"/>
        <v>0</v>
      </c>
      <c r="P30" s="471">
        <f t="shared" si="18"/>
        <v>0</v>
      </c>
      <c r="Q30" s="471">
        <f t="shared" si="18"/>
        <v>0</v>
      </c>
      <c r="R30" s="471">
        <f t="shared" si="18"/>
        <v>0</v>
      </c>
      <c r="S30" s="471">
        <f t="shared" si="18"/>
        <v>0</v>
      </c>
      <c r="T30" s="471">
        <f t="shared" si="18"/>
        <v>0</v>
      </c>
      <c r="U30" s="471">
        <f t="shared" ref="U30:AB30" si="19">-$C30*$E$24</f>
        <v>0</v>
      </c>
      <c r="V30" s="471">
        <f t="shared" si="19"/>
        <v>0</v>
      </c>
      <c r="W30" s="471">
        <f t="shared" si="19"/>
        <v>0</v>
      </c>
      <c r="X30" s="471">
        <f t="shared" si="19"/>
        <v>0</v>
      </c>
      <c r="Y30" s="471">
        <f t="shared" si="19"/>
        <v>0</v>
      </c>
      <c r="Z30" s="471">
        <f t="shared" si="19"/>
        <v>0</v>
      </c>
      <c r="AA30" s="471">
        <f t="shared" si="19"/>
        <v>0</v>
      </c>
      <c r="AB30" s="471">
        <f t="shared" si="19"/>
        <v>0</v>
      </c>
    </row>
    <row r="31" spans="2:28">
      <c r="B31" s="452"/>
      <c r="C31" s="452"/>
      <c r="D31" s="452"/>
      <c r="E31" s="452"/>
      <c r="F31" s="452"/>
      <c r="G31" s="452"/>
      <c r="H31" s="452"/>
      <c r="Q31" s="452"/>
      <c r="R31" s="452"/>
      <c r="S31" s="452"/>
      <c r="T31" s="452"/>
    </row>
    <row r="32" spans="2:28">
      <c r="B32" s="480" t="s">
        <v>646</v>
      </c>
      <c r="C32" s="452"/>
      <c r="D32" s="452"/>
      <c r="E32" s="452"/>
      <c r="F32" s="452"/>
      <c r="G32" s="452"/>
      <c r="H32" s="452"/>
      <c r="Q32" s="452"/>
      <c r="R32" s="452"/>
      <c r="S32" s="452"/>
      <c r="T32" s="452"/>
    </row>
    <row r="33" spans="2:28">
      <c r="B33" s="452" t="s">
        <v>1080</v>
      </c>
      <c r="C33" s="450">
        <v>900</v>
      </c>
      <c r="D33" s="452"/>
      <c r="E33" s="471">
        <f>-$C33*E24</f>
        <v>-1912500</v>
      </c>
      <c r="F33" s="471">
        <f t="shared" ref="F33:P33" si="20">-$C33*F24</f>
        <v>-1912500</v>
      </c>
      <c r="G33" s="471">
        <f t="shared" si="20"/>
        <v>-1912500</v>
      </c>
      <c r="H33" s="471">
        <f t="shared" si="20"/>
        <v>-1912500</v>
      </c>
      <c r="I33" s="471">
        <f t="shared" si="20"/>
        <v>-1912500</v>
      </c>
      <c r="J33" s="471">
        <f t="shared" si="20"/>
        <v>-1912500</v>
      </c>
      <c r="K33" s="471">
        <f t="shared" si="20"/>
        <v>-1912500</v>
      </c>
      <c r="L33" s="471">
        <f t="shared" si="20"/>
        <v>-1912500</v>
      </c>
      <c r="M33" s="471">
        <f t="shared" si="20"/>
        <v>-1912500</v>
      </c>
      <c r="N33" s="471">
        <f t="shared" si="20"/>
        <v>-1912500</v>
      </c>
      <c r="O33" s="471">
        <f t="shared" si="20"/>
        <v>-1912500</v>
      </c>
      <c r="P33" s="471">
        <f t="shared" si="20"/>
        <v>-1912500</v>
      </c>
      <c r="Q33" s="471">
        <f>-$C33*Q24</f>
        <v>-1912500</v>
      </c>
      <c r="R33" s="471">
        <f t="shared" ref="R33:AB33" si="21">-$C33*R24</f>
        <v>-1912500</v>
      </c>
      <c r="S33" s="471">
        <f t="shared" si="21"/>
        <v>-1912500</v>
      </c>
      <c r="T33" s="471">
        <f t="shared" si="21"/>
        <v>-1912500</v>
      </c>
      <c r="U33" s="471">
        <f t="shared" si="21"/>
        <v>-1912500</v>
      </c>
      <c r="V33" s="471">
        <f t="shared" si="21"/>
        <v>-1912500</v>
      </c>
      <c r="W33" s="471">
        <f t="shared" si="21"/>
        <v>-1912500</v>
      </c>
      <c r="X33" s="471">
        <f t="shared" si="21"/>
        <v>-1912500</v>
      </c>
      <c r="Y33" s="471">
        <f t="shared" si="21"/>
        <v>-1912500</v>
      </c>
      <c r="Z33" s="471">
        <f t="shared" si="21"/>
        <v>-1912500</v>
      </c>
      <c r="AA33" s="471">
        <f t="shared" si="21"/>
        <v>-1912500</v>
      </c>
      <c r="AB33" s="471">
        <f t="shared" si="21"/>
        <v>-1912500</v>
      </c>
    </row>
    <row r="34" spans="2:28">
      <c r="B34" s="452" t="s">
        <v>1081</v>
      </c>
      <c r="C34" s="450">
        <v>50</v>
      </c>
      <c r="D34" s="452"/>
      <c r="E34" s="452"/>
      <c r="F34" s="471">
        <f>-$C34*F24</f>
        <v>-106250</v>
      </c>
      <c r="G34" s="471">
        <f t="shared" ref="G34:AB34" si="22">-$C34*G24</f>
        <v>-106250</v>
      </c>
      <c r="H34" s="471">
        <f t="shared" si="22"/>
        <v>-106250</v>
      </c>
      <c r="I34" s="471">
        <f t="shared" si="22"/>
        <v>-106250</v>
      </c>
      <c r="J34" s="471">
        <f t="shared" si="22"/>
        <v>-106250</v>
      </c>
      <c r="K34" s="471">
        <f t="shared" si="22"/>
        <v>-106250</v>
      </c>
      <c r="L34" s="471">
        <f t="shared" si="22"/>
        <v>-106250</v>
      </c>
      <c r="M34" s="471">
        <f t="shared" si="22"/>
        <v>-106250</v>
      </c>
      <c r="N34" s="471">
        <f t="shared" si="22"/>
        <v>-106250</v>
      </c>
      <c r="O34" s="471">
        <f t="shared" si="22"/>
        <v>-106250</v>
      </c>
      <c r="P34" s="471">
        <f t="shared" si="22"/>
        <v>-106250</v>
      </c>
      <c r="Q34" s="471">
        <f t="shared" si="22"/>
        <v>-106250</v>
      </c>
      <c r="R34" s="471">
        <f t="shared" si="22"/>
        <v>-106250</v>
      </c>
      <c r="S34" s="471">
        <f t="shared" si="22"/>
        <v>-106250</v>
      </c>
      <c r="T34" s="471">
        <f t="shared" si="22"/>
        <v>-106250</v>
      </c>
      <c r="U34" s="471">
        <f t="shared" si="22"/>
        <v>-106250</v>
      </c>
      <c r="V34" s="471">
        <f t="shared" si="22"/>
        <v>-106250</v>
      </c>
      <c r="W34" s="471">
        <f t="shared" si="22"/>
        <v>-106250</v>
      </c>
      <c r="X34" s="471">
        <f t="shared" si="22"/>
        <v>-106250</v>
      </c>
      <c r="Y34" s="471">
        <f t="shared" si="22"/>
        <v>-106250</v>
      </c>
      <c r="Z34" s="471">
        <f t="shared" si="22"/>
        <v>-106250</v>
      </c>
      <c r="AA34" s="471">
        <f t="shared" si="22"/>
        <v>-106250</v>
      </c>
      <c r="AB34" s="471">
        <f t="shared" si="22"/>
        <v>-106250</v>
      </c>
    </row>
    <row r="35" spans="2:28">
      <c r="B35" s="452" t="s">
        <v>1085</v>
      </c>
      <c r="C35" s="450">
        <v>10</v>
      </c>
      <c r="D35" s="452"/>
      <c r="E35" s="452"/>
      <c r="F35" s="471">
        <f>-$C35*F24</f>
        <v>-21250</v>
      </c>
      <c r="G35" s="471">
        <f t="shared" ref="G35:AB35" si="23">-$C35*G24</f>
        <v>-21250</v>
      </c>
      <c r="H35" s="471">
        <f t="shared" si="23"/>
        <v>-21250</v>
      </c>
      <c r="I35" s="471">
        <f t="shared" si="23"/>
        <v>-21250</v>
      </c>
      <c r="J35" s="471">
        <f t="shared" si="23"/>
        <v>-21250</v>
      </c>
      <c r="K35" s="471">
        <f t="shared" si="23"/>
        <v>-21250</v>
      </c>
      <c r="L35" s="471">
        <f t="shared" si="23"/>
        <v>-21250</v>
      </c>
      <c r="M35" s="471">
        <f t="shared" si="23"/>
        <v>-21250</v>
      </c>
      <c r="N35" s="471">
        <f t="shared" si="23"/>
        <v>-21250</v>
      </c>
      <c r="O35" s="471">
        <f t="shared" si="23"/>
        <v>-21250</v>
      </c>
      <c r="P35" s="471">
        <f t="shared" si="23"/>
        <v>-21250</v>
      </c>
      <c r="Q35" s="471">
        <f t="shared" si="23"/>
        <v>-21250</v>
      </c>
      <c r="R35" s="471">
        <f t="shared" si="23"/>
        <v>-21250</v>
      </c>
      <c r="S35" s="471">
        <f t="shared" si="23"/>
        <v>-21250</v>
      </c>
      <c r="T35" s="471">
        <f t="shared" si="23"/>
        <v>-21250</v>
      </c>
      <c r="U35" s="471">
        <f t="shared" si="23"/>
        <v>-21250</v>
      </c>
      <c r="V35" s="471">
        <f t="shared" si="23"/>
        <v>-21250</v>
      </c>
      <c r="W35" s="471">
        <f t="shared" si="23"/>
        <v>-21250</v>
      </c>
      <c r="X35" s="471">
        <f t="shared" si="23"/>
        <v>-21250</v>
      </c>
      <c r="Y35" s="471">
        <f t="shared" si="23"/>
        <v>-21250</v>
      </c>
      <c r="Z35" s="471">
        <f t="shared" si="23"/>
        <v>-21250</v>
      </c>
      <c r="AA35" s="471">
        <f t="shared" si="23"/>
        <v>-21250</v>
      </c>
      <c r="AB35" s="471">
        <f t="shared" si="23"/>
        <v>-21250</v>
      </c>
    </row>
    <row r="36" spans="2:28">
      <c r="B36" s="452" t="s">
        <v>1084</v>
      </c>
      <c r="C36" s="450">
        <v>3.4</v>
      </c>
      <c r="D36" s="452"/>
      <c r="E36" s="452"/>
      <c r="F36" s="471">
        <v>0</v>
      </c>
      <c r="G36" s="471">
        <f t="shared" ref="G36:AB36" si="24">-$C36*G24</f>
        <v>-7225</v>
      </c>
      <c r="H36" s="471">
        <f t="shared" si="24"/>
        <v>-7225</v>
      </c>
      <c r="I36" s="471">
        <f t="shared" si="24"/>
        <v>-7225</v>
      </c>
      <c r="J36" s="471">
        <f t="shared" si="24"/>
        <v>-7225</v>
      </c>
      <c r="K36" s="471">
        <f t="shared" si="24"/>
        <v>-7225</v>
      </c>
      <c r="L36" s="471">
        <f t="shared" si="24"/>
        <v>-7225</v>
      </c>
      <c r="M36" s="471">
        <f t="shared" si="24"/>
        <v>-7225</v>
      </c>
      <c r="N36" s="471">
        <f t="shared" si="24"/>
        <v>-7225</v>
      </c>
      <c r="O36" s="471">
        <f t="shared" si="24"/>
        <v>-7225</v>
      </c>
      <c r="P36" s="471">
        <f t="shared" si="24"/>
        <v>-7225</v>
      </c>
      <c r="Q36" s="471">
        <f t="shared" si="24"/>
        <v>-7225</v>
      </c>
      <c r="R36" s="471">
        <f t="shared" si="24"/>
        <v>-7225</v>
      </c>
      <c r="S36" s="471">
        <f t="shared" si="24"/>
        <v>-7225</v>
      </c>
      <c r="T36" s="471">
        <f t="shared" si="24"/>
        <v>-7225</v>
      </c>
      <c r="U36" s="471">
        <f t="shared" si="24"/>
        <v>-7225</v>
      </c>
      <c r="V36" s="471">
        <f t="shared" si="24"/>
        <v>-7225</v>
      </c>
      <c r="W36" s="471">
        <f t="shared" si="24"/>
        <v>-7225</v>
      </c>
      <c r="X36" s="471">
        <f t="shared" si="24"/>
        <v>-7225</v>
      </c>
      <c r="Y36" s="471">
        <f t="shared" si="24"/>
        <v>-7225</v>
      </c>
      <c r="Z36" s="471">
        <f t="shared" si="24"/>
        <v>-7225</v>
      </c>
      <c r="AA36" s="471">
        <f t="shared" si="24"/>
        <v>-7225</v>
      </c>
      <c r="AB36" s="471">
        <f t="shared" si="24"/>
        <v>-7225</v>
      </c>
    </row>
    <row r="37" spans="2:28">
      <c r="B37" s="452" t="s">
        <v>1083</v>
      </c>
      <c r="C37" s="450">
        <v>10</v>
      </c>
      <c r="D37" s="452"/>
      <c r="E37" s="452"/>
      <c r="F37" s="452"/>
      <c r="G37" s="471">
        <f t="shared" ref="G37:AB37" si="25">-$C37*G24</f>
        <v>-21250</v>
      </c>
      <c r="H37" s="471">
        <f t="shared" si="25"/>
        <v>-21250</v>
      </c>
      <c r="I37" s="471">
        <f t="shared" si="25"/>
        <v>-21250</v>
      </c>
      <c r="J37" s="471">
        <f t="shared" si="25"/>
        <v>-21250</v>
      </c>
      <c r="K37" s="471">
        <f t="shared" si="25"/>
        <v>-21250</v>
      </c>
      <c r="L37" s="471">
        <f t="shared" si="25"/>
        <v>-21250</v>
      </c>
      <c r="M37" s="471">
        <f t="shared" si="25"/>
        <v>-21250</v>
      </c>
      <c r="N37" s="471">
        <f t="shared" si="25"/>
        <v>-21250</v>
      </c>
      <c r="O37" s="471">
        <f t="shared" si="25"/>
        <v>-21250</v>
      </c>
      <c r="P37" s="471">
        <f t="shared" si="25"/>
        <v>-21250</v>
      </c>
      <c r="Q37" s="471">
        <f t="shared" si="25"/>
        <v>-21250</v>
      </c>
      <c r="R37" s="471">
        <f t="shared" si="25"/>
        <v>-21250</v>
      </c>
      <c r="S37" s="471">
        <f t="shared" si="25"/>
        <v>-21250</v>
      </c>
      <c r="T37" s="471">
        <f t="shared" si="25"/>
        <v>-21250</v>
      </c>
      <c r="U37" s="471">
        <f t="shared" si="25"/>
        <v>-21250</v>
      </c>
      <c r="V37" s="471">
        <f t="shared" si="25"/>
        <v>-21250</v>
      </c>
      <c r="W37" s="471">
        <f t="shared" si="25"/>
        <v>-21250</v>
      </c>
      <c r="X37" s="471">
        <f t="shared" si="25"/>
        <v>-21250</v>
      </c>
      <c r="Y37" s="471">
        <f t="shared" si="25"/>
        <v>-21250</v>
      </c>
      <c r="Z37" s="471">
        <f t="shared" si="25"/>
        <v>-21250</v>
      </c>
      <c r="AA37" s="471">
        <f t="shared" si="25"/>
        <v>-21250</v>
      </c>
      <c r="AB37" s="471">
        <f t="shared" si="25"/>
        <v>-21250</v>
      </c>
    </row>
    <row r="38" spans="2:28">
      <c r="B38" s="452" t="s">
        <v>1082</v>
      </c>
      <c r="C38" s="450">
        <v>172.5</v>
      </c>
      <c r="D38" s="452"/>
      <c r="E38" s="452"/>
      <c r="F38" s="452"/>
      <c r="G38" s="452"/>
      <c r="H38" s="471">
        <f t="shared" ref="H38:AB38" si="26">-$C38*H24</f>
        <v>-366562.5</v>
      </c>
      <c r="I38" s="471">
        <f t="shared" si="26"/>
        <v>-366562.5</v>
      </c>
      <c r="J38" s="471">
        <f t="shared" si="26"/>
        <v>-366562.5</v>
      </c>
      <c r="K38" s="471">
        <f t="shared" si="26"/>
        <v>-366562.5</v>
      </c>
      <c r="L38" s="471">
        <f t="shared" si="26"/>
        <v>-366562.5</v>
      </c>
      <c r="M38" s="471">
        <f t="shared" si="26"/>
        <v>-366562.5</v>
      </c>
      <c r="N38" s="471">
        <f t="shared" si="26"/>
        <v>-366562.5</v>
      </c>
      <c r="O38" s="471">
        <f t="shared" si="26"/>
        <v>-366562.5</v>
      </c>
      <c r="P38" s="471">
        <f t="shared" si="26"/>
        <v>-366562.5</v>
      </c>
      <c r="Q38" s="471">
        <f t="shared" si="26"/>
        <v>-366562.5</v>
      </c>
      <c r="R38" s="471">
        <f t="shared" si="26"/>
        <v>-366562.5</v>
      </c>
      <c r="S38" s="471">
        <f t="shared" si="26"/>
        <v>-366562.5</v>
      </c>
      <c r="T38" s="471">
        <f t="shared" si="26"/>
        <v>-366562.5</v>
      </c>
      <c r="U38" s="471">
        <f t="shared" si="26"/>
        <v>-366562.5</v>
      </c>
      <c r="V38" s="471">
        <f t="shared" si="26"/>
        <v>-366562.5</v>
      </c>
      <c r="W38" s="471">
        <f t="shared" si="26"/>
        <v>-366562.5</v>
      </c>
      <c r="X38" s="471">
        <f t="shared" si="26"/>
        <v>-366562.5</v>
      </c>
      <c r="Y38" s="471">
        <f t="shared" si="26"/>
        <v>-366562.5</v>
      </c>
      <c r="Z38" s="471">
        <f t="shared" si="26"/>
        <v>-366562.5</v>
      </c>
      <c r="AA38" s="471">
        <f t="shared" si="26"/>
        <v>-366562.5</v>
      </c>
      <c r="AB38" s="471">
        <f t="shared" si="26"/>
        <v>-366562.5</v>
      </c>
    </row>
    <row r="39" spans="2:28">
      <c r="C39" s="452"/>
      <c r="D39" s="452"/>
      <c r="E39" s="452"/>
      <c r="F39" s="452"/>
      <c r="G39" s="452"/>
      <c r="H39" s="452"/>
      <c r="Q39" s="452"/>
      <c r="R39" s="452"/>
      <c r="S39" s="452"/>
      <c r="T39" s="452"/>
    </row>
    <row r="40" spans="2:28">
      <c r="B40" s="452"/>
      <c r="C40" s="452"/>
      <c r="D40" s="452"/>
      <c r="E40" s="452"/>
      <c r="F40" s="452"/>
      <c r="G40" s="452"/>
      <c r="H40" s="452"/>
      <c r="Q40" s="452"/>
      <c r="R40" s="452"/>
      <c r="S40" s="452"/>
      <c r="T40" s="452"/>
    </row>
    <row r="41" spans="2:28">
      <c r="B41" s="480" t="s">
        <v>651</v>
      </c>
      <c r="C41" s="452"/>
      <c r="D41" s="452"/>
      <c r="E41" s="452"/>
      <c r="F41" s="452"/>
      <c r="G41" s="452"/>
      <c r="H41" s="452"/>
      <c r="Q41" s="452"/>
      <c r="R41" s="452"/>
      <c r="S41" s="452"/>
      <c r="T41" s="452"/>
    </row>
    <row r="42" spans="2:28">
      <c r="B42" s="452" t="s">
        <v>652</v>
      </c>
      <c r="C42" s="450">
        <v>0</v>
      </c>
      <c r="D42" s="452"/>
      <c r="E42" s="471">
        <f>-$C42</f>
        <v>0</v>
      </c>
      <c r="F42" s="471">
        <f t="shared" ref="F42:AB42" si="27">-$C42</f>
        <v>0</v>
      </c>
      <c r="G42" s="471">
        <f t="shared" si="27"/>
        <v>0</v>
      </c>
      <c r="H42" s="471">
        <f t="shared" si="27"/>
        <v>0</v>
      </c>
      <c r="I42" s="471">
        <f t="shared" si="27"/>
        <v>0</v>
      </c>
      <c r="J42" s="471">
        <f t="shared" si="27"/>
        <v>0</v>
      </c>
      <c r="K42" s="471">
        <f t="shared" si="27"/>
        <v>0</v>
      </c>
      <c r="L42" s="471">
        <f t="shared" si="27"/>
        <v>0</v>
      </c>
      <c r="M42" s="471">
        <f t="shared" si="27"/>
        <v>0</v>
      </c>
      <c r="N42" s="471">
        <f t="shared" si="27"/>
        <v>0</v>
      </c>
      <c r="O42" s="471">
        <f t="shared" si="27"/>
        <v>0</v>
      </c>
      <c r="P42" s="471">
        <f t="shared" si="27"/>
        <v>0</v>
      </c>
      <c r="Q42" s="471">
        <f t="shared" si="27"/>
        <v>0</v>
      </c>
      <c r="R42" s="471">
        <f t="shared" si="27"/>
        <v>0</v>
      </c>
      <c r="S42" s="471">
        <f t="shared" si="27"/>
        <v>0</v>
      </c>
      <c r="T42" s="471">
        <f t="shared" si="27"/>
        <v>0</v>
      </c>
      <c r="U42" s="471">
        <f t="shared" si="27"/>
        <v>0</v>
      </c>
      <c r="V42" s="471">
        <f t="shared" si="27"/>
        <v>0</v>
      </c>
      <c r="W42" s="471">
        <f t="shared" si="27"/>
        <v>0</v>
      </c>
      <c r="X42" s="471">
        <f t="shared" si="27"/>
        <v>0</v>
      </c>
      <c r="Y42" s="471">
        <f t="shared" si="27"/>
        <v>0</v>
      </c>
      <c r="Z42" s="471">
        <f t="shared" si="27"/>
        <v>0</v>
      </c>
      <c r="AA42" s="471">
        <f t="shared" si="27"/>
        <v>0</v>
      </c>
      <c r="AB42" s="471">
        <f t="shared" si="27"/>
        <v>0</v>
      </c>
    </row>
    <row r="43" spans="2:28">
      <c r="B43" s="452" t="s">
        <v>810</v>
      </c>
      <c r="C43" s="450">
        <v>0</v>
      </c>
      <c r="D43" s="452"/>
      <c r="E43" s="471">
        <f>-$C$43/12</f>
        <v>0</v>
      </c>
      <c r="F43" s="471">
        <f t="shared" ref="F43:AB43" si="28">-$C$43/12</f>
        <v>0</v>
      </c>
      <c r="G43" s="471">
        <f t="shared" si="28"/>
        <v>0</v>
      </c>
      <c r="H43" s="471">
        <f t="shared" si="28"/>
        <v>0</v>
      </c>
      <c r="I43" s="471">
        <f t="shared" si="28"/>
        <v>0</v>
      </c>
      <c r="J43" s="471">
        <f t="shared" si="28"/>
        <v>0</v>
      </c>
      <c r="K43" s="471">
        <f t="shared" si="28"/>
        <v>0</v>
      </c>
      <c r="L43" s="471">
        <f t="shared" si="28"/>
        <v>0</v>
      </c>
      <c r="M43" s="471">
        <f t="shared" si="28"/>
        <v>0</v>
      </c>
      <c r="N43" s="471">
        <f t="shared" si="28"/>
        <v>0</v>
      </c>
      <c r="O43" s="471">
        <f t="shared" si="28"/>
        <v>0</v>
      </c>
      <c r="P43" s="471">
        <f t="shared" si="28"/>
        <v>0</v>
      </c>
      <c r="Q43" s="471">
        <f t="shared" si="28"/>
        <v>0</v>
      </c>
      <c r="R43" s="471">
        <f t="shared" si="28"/>
        <v>0</v>
      </c>
      <c r="S43" s="471">
        <f t="shared" si="28"/>
        <v>0</v>
      </c>
      <c r="T43" s="471">
        <f t="shared" si="28"/>
        <v>0</v>
      </c>
      <c r="U43" s="471">
        <f t="shared" si="28"/>
        <v>0</v>
      </c>
      <c r="V43" s="471">
        <f t="shared" si="28"/>
        <v>0</v>
      </c>
      <c r="W43" s="471">
        <f t="shared" si="28"/>
        <v>0</v>
      </c>
      <c r="X43" s="471">
        <f t="shared" si="28"/>
        <v>0</v>
      </c>
      <c r="Y43" s="471">
        <f t="shared" si="28"/>
        <v>0</v>
      </c>
      <c r="Z43" s="471">
        <f t="shared" si="28"/>
        <v>0</v>
      </c>
      <c r="AA43" s="471">
        <f t="shared" si="28"/>
        <v>0</v>
      </c>
      <c r="AB43" s="471">
        <f t="shared" si="28"/>
        <v>0</v>
      </c>
    </row>
    <row r="44" spans="2:28">
      <c r="B44" s="452" t="s">
        <v>809</v>
      </c>
      <c r="C44" s="450">
        <v>100000</v>
      </c>
      <c r="D44" s="452"/>
      <c r="E44" s="471"/>
      <c r="F44" s="471">
        <f t="shared" ref="E44:T46" si="29">-$C44</f>
        <v>-100000</v>
      </c>
      <c r="G44" s="471">
        <f t="shared" si="29"/>
        <v>-100000</v>
      </c>
      <c r="H44" s="471">
        <f t="shared" si="29"/>
        <v>-100000</v>
      </c>
      <c r="I44" s="471">
        <f t="shared" si="29"/>
        <v>-100000</v>
      </c>
      <c r="J44" s="471">
        <f t="shared" si="29"/>
        <v>-100000</v>
      </c>
      <c r="K44" s="471">
        <f t="shared" si="29"/>
        <v>-100000</v>
      </c>
      <c r="L44" s="471">
        <f t="shared" si="29"/>
        <v>-100000</v>
      </c>
      <c r="M44" s="471">
        <f t="shared" si="29"/>
        <v>-100000</v>
      </c>
      <c r="N44" s="471">
        <f t="shared" si="29"/>
        <v>-100000</v>
      </c>
      <c r="O44" s="471">
        <f t="shared" si="29"/>
        <v>-100000</v>
      </c>
      <c r="P44" s="471">
        <f t="shared" si="29"/>
        <v>-100000</v>
      </c>
      <c r="Q44" s="471">
        <f t="shared" si="29"/>
        <v>-100000</v>
      </c>
      <c r="R44" s="471">
        <f t="shared" si="29"/>
        <v>-100000</v>
      </c>
      <c r="S44" s="471">
        <f t="shared" si="29"/>
        <v>-100000</v>
      </c>
      <c r="T44" s="471">
        <f t="shared" si="29"/>
        <v>-100000</v>
      </c>
      <c r="U44" s="471">
        <f t="shared" ref="U44:AB46" si="30">-$C44</f>
        <v>-100000</v>
      </c>
      <c r="V44" s="471">
        <f t="shared" si="30"/>
        <v>-100000</v>
      </c>
      <c r="W44" s="471">
        <f t="shared" si="30"/>
        <v>-100000</v>
      </c>
      <c r="X44" s="471">
        <f t="shared" si="30"/>
        <v>-100000</v>
      </c>
      <c r="Y44" s="471">
        <f t="shared" si="30"/>
        <v>-100000</v>
      </c>
      <c r="Z44" s="471">
        <f t="shared" si="30"/>
        <v>-100000</v>
      </c>
      <c r="AA44" s="471">
        <f t="shared" si="30"/>
        <v>-100000</v>
      </c>
      <c r="AB44" s="471">
        <f t="shared" si="30"/>
        <v>-100000</v>
      </c>
    </row>
    <row r="45" spans="2:28">
      <c r="B45" s="452"/>
      <c r="C45" s="450">
        <v>0</v>
      </c>
      <c r="D45" s="452"/>
      <c r="E45" s="471">
        <f t="shared" si="29"/>
        <v>0</v>
      </c>
      <c r="F45" s="471">
        <f t="shared" si="29"/>
        <v>0</v>
      </c>
      <c r="G45" s="471">
        <f t="shared" si="29"/>
        <v>0</v>
      </c>
      <c r="H45" s="471">
        <f t="shared" si="29"/>
        <v>0</v>
      </c>
      <c r="I45" s="471">
        <f t="shared" si="29"/>
        <v>0</v>
      </c>
      <c r="J45" s="471">
        <f t="shared" si="29"/>
        <v>0</v>
      </c>
      <c r="K45" s="471">
        <f t="shared" si="29"/>
        <v>0</v>
      </c>
      <c r="L45" s="471">
        <f t="shared" si="29"/>
        <v>0</v>
      </c>
      <c r="M45" s="471">
        <f t="shared" si="29"/>
        <v>0</v>
      </c>
      <c r="N45" s="471">
        <f t="shared" si="29"/>
        <v>0</v>
      </c>
      <c r="O45" s="471">
        <f t="shared" si="29"/>
        <v>0</v>
      </c>
      <c r="P45" s="471">
        <f t="shared" si="29"/>
        <v>0</v>
      </c>
      <c r="Q45" s="471">
        <f t="shared" si="29"/>
        <v>0</v>
      </c>
      <c r="R45" s="471">
        <f t="shared" si="29"/>
        <v>0</v>
      </c>
      <c r="S45" s="471">
        <f t="shared" si="29"/>
        <v>0</v>
      </c>
      <c r="T45" s="471">
        <f t="shared" si="29"/>
        <v>0</v>
      </c>
      <c r="U45" s="471">
        <f t="shared" si="30"/>
        <v>0</v>
      </c>
      <c r="V45" s="471">
        <f t="shared" si="30"/>
        <v>0</v>
      </c>
      <c r="W45" s="471">
        <f t="shared" si="30"/>
        <v>0</v>
      </c>
      <c r="X45" s="471">
        <f t="shared" si="30"/>
        <v>0</v>
      </c>
      <c r="Y45" s="471">
        <f t="shared" si="30"/>
        <v>0</v>
      </c>
      <c r="Z45" s="471">
        <f t="shared" si="30"/>
        <v>0</v>
      </c>
      <c r="AA45" s="471">
        <f t="shared" si="30"/>
        <v>0</v>
      </c>
      <c r="AB45" s="471">
        <f t="shared" si="30"/>
        <v>0</v>
      </c>
    </row>
    <row r="46" spans="2:28">
      <c r="B46" s="452"/>
      <c r="C46" s="450">
        <v>0</v>
      </c>
      <c r="D46" s="452"/>
      <c r="E46" s="471">
        <f t="shared" si="29"/>
        <v>0</v>
      </c>
      <c r="F46" s="471">
        <f t="shared" si="29"/>
        <v>0</v>
      </c>
      <c r="G46" s="471">
        <f t="shared" si="29"/>
        <v>0</v>
      </c>
      <c r="H46" s="471">
        <f t="shared" si="29"/>
        <v>0</v>
      </c>
      <c r="I46" s="471">
        <f t="shared" si="29"/>
        <v>0</v>
      </c>
      <c r="J46" s="471">
        <f t="shared" si="29"/>
        <v>0</v>
      </c>
      <c r="K46" s="471">
        <f t="shared" si="29"/>
        <v>0</v>
      </c>
      <c r="L46" s="471">
        <f t="shared" si="29"/>
        <v>0</v>
      </c>
      <c r="M46" s="471">
        <f t="shared" si="29"/>
        <v>0</v>
      </c>
      <c r="N46" s="471">
        <f t="shared" si="29"/>
        <v>0</v>
      </c>
      <c r="O46" s="471">
        <f t="shared" si="29"/>
        <v>0</v>
      </c>
      <c r="P46" s="471">
        <f t="shared" si="29"/>
        <v>0</v>
      </c>
      <c r="Q46" s="471">
        <f t="shared" si="29"/>
        <v>0</v>
      </c>
      <c r="R46" s="471">
        <f t="shared" si="29"/>
        <v>0</v>
      </c>
      <c r="S46" s="471">
        <f t="shared" si="29"/>
        <v>0</v>
      </c>
      <c r="T46" s="471">
        <f t="shared" si="29"/>
        <v>0</v>
      </c>
      <c r="U46" s="471">
        <f t="shared" si="30"/>
        <v>0</v>
      </c>
      <c r="V46" s="471">
        <f t="shared" si="30"/>
        <v>0</v>
      </c>
      <c r="W46" s="471">
        <f t="shared" si="30"/>
        <v>0</v>
      </c>
      <c r="X46" s="471">
        <f t="shared" si="30"/>
        <v>0</v>
      </c>
      <c r="Y46" s="471">
        <f t="shared" si="30"/>
        <v>0</v>
      </c>
      <c r="Z46" s="471">
        <f t="shared" si="30"/>
        <v>0</v>
      </c>
      <c r="AA46" s="471">
        <f t="shared" si="30"/>
        <v>0</v>
      </c>
      <c r="AB46" s="471">
        <f t="shared" si="30"/>
        <v>0</v>
      </c>
    </row>
    <row r="47" spans="2:28">
      <c r="B47" s="452"/>
      <c r="C47" s="452"/>
      <c r="D47" s="452"/>
      <c r="E47" s="452"/>
      <c r="F47" s="452"/>
      <c r="G47" s="452"/>
      <c r="H47" s="452"/>
      <c r="Q47" s="452"/>
      <c r="R47" s="452"/>
      <c r="S47" s="452"/>
      <c r="T47" s="452"/>
    </row>
    <row r="48" spans="2:28">
      <c r="B48" s="480" t="s">
        <v>654</v>
      </c>
      <c r="C48" s="481">
        <v>0</v>
      </c>
      <c r="D48" s="452"/>
      <c r="E48" s="471">
        <f>-$C$48</f>
        <v>0</v>
      </c>
      <c r="F48" s="471">
        <f t="shared" ref="F48:AB48" si="31">-$C$48</f>
        <v>0</v>
      </c>
      <c r="G48" s="471">
        <f t="shared" si="31"/>
        <v>0</v>
      </c>
      <c r="H48" s="471">
        <f t="shared" si="31"/>
        <v>0</v>
      </c>
      <c r="I48" s="471">
        <f t="shared" si="31"/>
        <v>0</v>
      </c>
      <c r="J48" s="471">
        <f t="shared" si="31"/>
        <v>0</v>
      </c>
      <c r="K48" s="471">
        <f t="shared" si="31"/>
        <v>0</v>
      </c>
      <c r="L48" s="471">
        <f t="shared" si="31"/>
        <v>0</v>
      </c>
      <c r="M48" s="471">
        <f t="shared" si="31"/>
        <v>0</v>
      </c>
      <c r="N48" s="471">
        <f t="shared" si="31"/>
        <v>0</v>
      </c>
      <c r="O48" s="471">
        <f t="shared" si="31"/>
        <v>0</v>
      </c>
      <c r="P48" s="471">
        <f t="shared" si="31"/>
        <v>0</v>
      </c>
      <c r="Q48" s="471">
        <f>-$C$48</f>
        <v>0</v>
      </c>
      <c r="R48" s="471">
        <f t="shared" si="31"/>
        <v>0</v>
      </c>
      <c r="S48" s="471">
        <f t="shared" si="31"/>
        <v>0</v>
      </c>
      <c r="T48" s="471">
        <f t="shared" si="31"/>
        <v>0</v>
      </c>
      <c r="U48" s="471">
        <f t="shared" si="31"/>
        <v>0</v>
      </c>
      <c r="V48" s="471">
        <f t="shared" si="31"/>
        <v>0</v>
      </c>
      <c r="W48" s="471">
        <f t="shared" si="31"/>
        <v>0</v>
      </c>
      <c r="X48" s="471">
        <f t="shared" si="31"/>
        <v>0</v>
      </c>
      <c r="Y48" s="471">
        <f t="shared" si="31"/>
        <v>0</v>
      </c>
      <c r="Z48" s="471">
        <f t="shared" si="31"/>
        <v>0</v>
      </c>
      <c r="AA48" s="471">
        <f t="shared" si="31"/>
        <v>0</v>
      </c>
      <c r="AB48" s="471">
        <f t="shared" si="31"/>
        <v>0</v>
      </c>
    </row>
    <row r="49" spans="1:28">
      <c r="B49" s="452" t="s">
        <v>896</v>
      </c>
      <c r="C49" s="450">
        <v>25480000</v>
      </c>
      <c r="D49" s="452"/>
      <c r="E49" s="452"/>
      <c r="F49" s="1033">
        <f>-$C$49/12</f>
        <v>-2123333.3333333335</v>
      </c>
      <c r="G49" s="1033">
        <f t="shared" ref="G49:AB49" si="32">-$C$49/12</f>
        <v>-2123333.3333333335</v>
      </c>
      <c r="H49" s="1033">
        <f t="shared" si="32"/>
        <v>-2123333.3333333335</v>
      </c>
      <c r="I49" s="1033">
        <f t="shared" si="32"/>
        <v>-2123333.3333333335</v>
      </c>
      <c r="J49" s="1033">
        <f t="shared" si="32"/>
        <v>-2123333.3333333335</v>
      </c>
      <c r="K49" s="1033">
        <f t="shared" si="32"/>
        <v>-2123333.3333333335</v>
      </c>
      <c r="L49" s="1033">
        <f t="shared" si="32"/>
        <v>-2123333.3333333335</v>
      </c>
      <c r="M49" s="1033">
        <f t="shared" si="32"/>
        <v>-2123333.3333333335</v>
      </c>
      <c r="N49" s="1033">
        <f t="shared" si="32"/>
        <v>-2123333.3333333335</v>
      </c>
      <c r="O49" s="1033">
        <f t="shared" si="32"/>
        <v>-2123333.3333333335</v>
      </c>
      <c r="P49" s="1033">
        <f t="shared" si="32"/>
        <v>-2123333.3333333335</v>
      </c>
      <c r="Q49" s="1033">
        <f t="shared" si="32"/>
        <v>-2123333.3333333335</v>
      </c>
      <c r="R49" s="1033">
        <f t="shared" si="32"/>
        <v>-2123333.3333333335</v>
      </c>
      <c r="S49" s="1033">
        <f t="shared" si="32"/>
        <v>-2123333.3333333335</v>
      </c>
      <c r="T49" s="1033">
        <f t="shared" si="32"/>
        <v>-2123333.3333333335</v>
      </c>
      <c r="U49" s="1033">
        <f t="shared" si="32"/>
        <v>-2123333.3333333335</v>
      </c>
      <c r="V49" s="1033">
        <f t="shared" si="32"/>
        <v>-2123333.3333333335</v>
      </c>
      <c r="W49" s="1033">
        <f t="shared" si="32"/>
        <v>-2123333.3333333335</v>
      </c>
      <c r="X49" s="1033">
        <f t="shared" si="32"/>
        <v>-2123333.3333333335</v>
      </c>
      <c r="Y49" s="1033">
        <f t="shared" si="32"/>
        <v>-2123333.3333333335</v>
      </c>
      <c r="Z49" s="1033">
        <f t="shared" si="32"/>
        <v>-2123333.3333333335</v>
      </c>
      <c r="AA49" s="1033">
        <f t="shared" si="32"/>
        <v>-2123333.3333333335</v>
      </c>
      <c r="AB49" s="1033">
        <f t="shared" si="32"/>
        <v>-2123333.3333333335</v>
      </c>
    </row>
    <row r="50" spans="1:28">
      <c r="B50" s="452"/>
      <c r="C50" s="450">
        <v>0</v>
      </c>
      <c r="D50" s="452"/>
      <c r="E50" s="452"/>
      <c r="F50" s="452"/>
      <c r="G50" s="452"/>
      <c r="H50" s="452"/>
      <c r="Q50" s="452"/>
      <c r="R50" s="452"/>
      <c r="S50" s="452"/>
      <c r="T50" s="452"/>
    </row>
    <row r="51" spans="1:28">
      <c r="B51" s="452"/>
      <c r="C51" s="452"/>
      <c r="D51" s="452"/>
      <c r="E51" s="452"/>
      <c r="F51" s="452"/>
      <c r="G51" s="452"/>
      <c r="H51" s="452"/>
      <c r="Q51" s="452"/>
      <c r="R51" s="452"/>
      <c r="S51" s="452"/>
      <c r="T51" s="452"/>
    </row>
    <row r="52" spans="1:28">
      <c r="B52" s="452" t="s">
        <v>176</v>
      </c>
      <c r="C52" s="452"/>
      <c r="D52" s="452"/>
      <c r="E52" s="482">
        <f>SUM(E22,E27:E30,E33:E39,E42:E46,E48:E50)</f>
        <v>-1912500</v>
      </c>
      <c r="F52" s="483">
        <f t="shared" ref="F52:AB52" si="33">SUM(F27:F51)+F22</f>
        <v>2802291.666666666</v>
      </c>
      <c r="G52" s="483">
        <f t="shared" si="33"/>
        <v>2943019.791666666</v>
      </c>
      <c r="H52" s="483">
        <f t="shared" si="33"/>
        <v>2576457.291666666</v>
      </c>
      <c r="I52" s="483">
        <f t="shared" si="33"/>
        <v>2576457.291666666</v>
      </c>
      <c r="J52" s="483">
        <f t="shared" si="33"/>
        <v>2576457.291666666</v>
      </c>
      <c r="K52" s="483">
        <f t="shared" si="33"/>
        <v>2576457.291666666</v>
      </c>
      <c r="L52" s="483">
        <f t="shared" si="33"/>
        <v>2576457.291666666</v>
      </c>
      <c r="M52" s="483">
        <f t="shared" si="33"/>
        <v>2576457.291666666</v>
      </c>
      <c r="N52" s="483">
        <f t="shared" si="33"/>
        <v>2576457.291666666</v>
      </c>
      <c r="O52" s="483">
        <f t="shared" si="33"/>
        <v>2576457.291666666</v>
      </c>
      <c r="P52" s="483">
        <f t="shared" si="33"/>
        <v>2576457.291666666</v>
      </c>
      <c r="Q52" s="483">
        <f t="shared" si="33"/>
        <v>13945472.916666666</v>
      </c>
      <c r="R52" s="483">
        <f t="shared" si="33"/>
        <v>13945472.916666666</v>
      </c>
      <c r="S52" s="483">
        <f t="shared" si="33"/>
        <v>13945472.916666666</v>
      </c>
      <c r="T52" s="483">
        <f t="shared" si="33"/>
        <v>13945472.916666666</v>
      </c>
      <c r="U52" s="483">
        <f t="shared" si="33"/>
        <v>13945472.916666666</v>
      </c>
      <c r="V52" s="483">
        <f t="shared" si="33"/>
        <v>13945472.916666666</v>
      </c>
      <c r="W52" s="483">
        <f t="shared" si="33"/>
        <v>13945472.916666666</v>
      </c>
      <c r="X52" s="483">
        <f t="shared" si="33"/>
        <v>13945472.916666666</v>
      </c>
      <c r="Y52" s="483">
        <f t="shared" si="33"/>
        <v>13945472.916666666</v>
      </c>
      <c r="Z52" s="483">
        <f t="shared" si="33"/>
        <v>13945472.916666666</v>
      </c>
      <c r="AA52" s="483">
        <f t="shared" si="33"/>
        <v>13945472.916666666</v>
      </c>
      <c r="AB52" s="483">
        <f t="shared" si="33"/>
        <v>13945472.916666666</v>
      </c>
    </row>
    <row r="53" spans="1:28">
      <c r="B53" s="484" t="s">
        <v>657</v>
      </c>
      <c r="C53" s="485"/>
      <c r="D53" s="486"/>
      <c r="E53" s="627">
        <f>E52</f>
        <v>-1912500</v>
      </c>
      <c r="F53" s="628">
        <f>E53+F52</f>
        <v>889791.66666666605</v>
      </c>
      <c r="G53" s="628">
        <f t="shared" ref="G53:O53" si="34">F53+G52</f>
        <v>3832811.4583333321</v>
      </c>
      <c r="H53" s="628">
        <f t="shared" si="34"/>
        <v>6409268.7499999981</v>
      </c>
      <c r="I53" s="628">
        <f t="shared" si="34"/>
        <v>8985726.0416666642</v>
      </c>
      <c r="J53" s="628">
        <f t="shared" si="34"/>
        <v>11562183.33333333</v>
      </c>
      <c r="K53" s="628">
        <f t="shared" si="34"/>
        <v>14138640.624999996</v>
      </c>
      <c r="L53" s="628">
        <f t="shared" si="34"/>
        <v>16715097.916666662</v>
      </c>
      <c r="M53" s="628">
        <f t="shared" si="34"/>
        <v>19291555.208333328</v>
      </c>
      <c r="N53" s="628">
        <f t="shared" si="34"/>
        <v>21868012.499999993</v>
      </c>
      <c r="O53" s="628">
        <f t="shared" si="34"/>
        <v>24444469.791666657</v>
      </c>
      <c r="P53" s="628">
        <f>O53+P52</f>
        <v>27020927.083333321</v>
      </c>
      <c r="Q53" s="627">
        <f>P53+Q52</f>
        <v>40966399.999999985</v>
      </c>
      <c r="R53" s="628">
        <f>Q53+R52</f>
        <v>54911872.916666649</v>
      </c>
      <c r="S53" s="628">
        <f t="shared" ref="S53:AB53" si="35">R53+S52</f>
        <v>68857345.833333313</v>
      </c>
      <c r="T53" s="628">
        <f t="shared" si="35"/>
        <v>82802818.749999985</v>
      </c>
      <c r="U53" s="628">
        <f t="shared" si="35"/>
        <v>96748291.666666657</v>
      </c>
      <c r="V53" s="628">
        <f t="shared" si="35"/>
        <v>110693764.58333333</v>
      </c>
      <c r="W53" s="628">
        <f t="shared" si="35"/>
        <v>124639237.5</v>
      </c>
      <c r="X53" s="628">
        <f t="shared" si="35"/>
        <v>138584710.41666666</v>
      </c>
      <c r="Y53" s="628">
        <f t="shared" si="35"/>
        <v>152530183.33333331</v>
      </c>
      <c r="Z53" s="628">
        <f t="shared" si="35"/>
        <v>166475656.24999997</v>
      </c>
      <c r="AA53" s="628">
        <f t="shared" si="35"/>
        <v>180421129.16666663</v>
      </c>
      <c r="AB53" s="628">
        <f t="shared" si="35"/>
        <v>194366602.08333328</v>
      </c>
    </row>
    <row r="57" spans="1:28">
      <c r="A57" s="384" t="s">
        <v>658</v>
      </c>
      <c r="E57" s="469"/>
      <c r="F57" s="490"/>
    </row>
    <row r="58" spans="1:28">
      <c r="E58" s="469"/>
      <c r="F58" s="490"/>
    </row>
    <row r="59" spans="1:28" ht="14.25">
      <c r="E59" s="626" t="s">
        <v>659</v>
      </c>
      <c r="F59" s="492">
        <f>MIN(E53:AB53)</f>
        <v>-1912500</v>
      </c>
      <c r="G59" s="384" t="s">
        <v>660</v>
      </c>
    </row>
    <row r="60" spans="1:28">
      <c r="E60" s="469"/>
      <c r="F60" s="490"/>
    </row>
    <row r="61" spans="1:28" ht="15" customHeight="1">
      <c r="F61" s="493"/>
      <c r="G61" s="384" t="s">
        <v>661</v>
      </c>
    </row>
    <row r="62" spans="1:28" ht="15" customHeight="1">
      <c r="G62" s="384" t="s">
        <v>662</v>
      </c>
    </row>
    <row r="63" spans="1:28" ht="15" customHeight="1">
      <c r="G63" s="384" t="s">
        <v>663</v>
      </c>
    </row>
    <row r="65" spans="2:11" ht="15" customHeight="1">
      <c r="F65" s="384">
        <v>25500</v>
      </c>
      <c r="G65" s="384">
        <v>28050.000000000004</v>
      </c>
      <c r="H65" s="384">
        <v>30855.000000000007</v>
      </c>
      <c r="I65" s="384">
        <v>29620.800000000007</v>
      </c>
      <c r="J65" s="384">
        <v>28435.968000000008</v>
      </c>
    </row>
    <row r="66" spans="2:11" ht="15" customHeight="1">
      <c r="B66" s="384" t="s">
        <v>664</v>
      </c>
      <c r="F66" s="1728" t="s">
        <v>665</v>
      </c>
      <c r="G66" s="1728"/>
      <c r="H66" s="1728"/>
      <c r="I66" s="1728"/>
      <c r="J66" s="1728"/>
    </row>
    <row r="67" spans="2:11" ht="15" customHeight="1" thickBot="1">
      <c r="B67" s="494" t="s">
        <v>666</v>
      </c>
      <c r="C67" s="494"/>
      <c r="D67" s="494"/>
      <c r="E67" s="495"/>
      <c r="F67" s="449" t="s">
        <v>667</v>
      </c>
      <c r="G67" s="494"/>
      <c r="H67" s="494"/>
      <c r="I67" s="494"/>
      <c r="J67" s="494"/>
    </row>
    <row r="68" spans="2:11" ht="15" customHeight="1" thickTop="1" thickBot="1">
      <c r="B68" s="494" t="s">
        <v>668</v>
      </c>
      <c r="C68" s="494"/>
      <c r="D68" s="496">
        <v>120000</v>
      </c>
      <c r="F68" s="494" t="s">
        <v>427</v>
      </c>
      <c r="G68" s="494" t="s">
        <v>177</v>
      </c>
      <c r="H68" s="494" t="s">
        <v>669</v>
      </c>
      <c r="I68" s="494" t="s">
        <v>670</v>
      </c>
      <c r="J68" s="494" t="s">
        <v>671</v>
      </c>
    </row>
    <row r="69" spans="2:11" ht="15" customHeight="1" thickTop="1" thickBot="1">
      <c r="B69" s="494" t="s">
        <v>672</v>
      </c>
      <c r="C69" s="494"/>
      <c r="D69" s="496">
        <v>100000</v>
      </c>
      <c r="F69" s="494">
        <v>0</v>
      </c>
      <c r="G69" s="496">
        <v>0</v>
      </c>
      <c r="H69" s="497">
        <v>0</v>
      </c>
      <c r="I69" s="498">
        <v>0</v>
      </c>
      <c r="J69" s="499">
        <f>F59</f>
        <v>-1912500</v>
      </c>
      <c r="K69" s="419" t="s">
        <v>673</v>
      </c>
    </row>
    <row r="70" spans="2:11" ht="15" customHeight="1" thickTop="1" thickBot="1">
      <c r="B70" s="494" t="s">
        <v>674</v>
      </c>
      <c r="C70" s="494"/>
      <c r="D70" s="496">
        <v>80000</v>
      </c>
      <c r="F70" s="494">
        <v>1</v>
      </c>
      <c r="G70" s="797">
        <v>25500</v>
      </c>
      <c r="H70" s="497">
        <v>0</v>
      </c>
      <c r="I70" s="498">
        <f>J69</f>
        <v>-1912500</v>
      </c>
      <c r="J70" s="500">
        <f>I70*H71</f>
        <v>-191250.00000000017</v>
      </c>
    </row>
    <row r="71" spans="2:11" ht="15" customHeight="1" thickTop="1" thickBot="1">
      <c r="B71" s="494" t="s">
        <v>676</v>
      </c>
      <c r="C71" s="494"/>
      <c r="D71" s="496">
        <v>630000</v>
      </c>
      <c r="F71" s="494">
        <v>2</v>
      </c>
      <c r="G71" s="797">
        <v>28050.000000000004</v>
      </c>
      <c r="H71" s="497">
        <f>G71/G70-1</f>
        <v>0.10000000000000009</v>
      </c>
      <c r="I71" s="498">
        <f>I70+J70</f>
        <v>-2103750</v>
      </c>
      <c r="J71" s="500">
        <f>I71*H72</f>
        <v>-210375.00000000017</v>
      </c>
    </row>
    <row r="72" spans="2:11" ht="15" customHeight="1" thickTop="1" thickBot="1">
      <c r="B72" s="501"/>
      <c r="C72" s="501" t="s">
        <v>677</v>
      </c>
      <c r="D72" s="496">
        <f>(D68-D69)*(D71/D70)</f>
        <v>157500</v>
      </c>
      <c r="F72" s="494">
        <v>3</v>
      </c>
      <c r="G72" s="797">
        <v>30855.000000000007</v>
      </c>
      <c r="H72" s="497">
        <f>G72/G71-1</f>
        <v>0.10000000000000009</v>
      </c>
      <c r="I72" s="498">
        <f>I71+J71</f>
        <v>-2314125</v>
      </c>
      <c r="J72" s="500">
        <f>I72*H73</f>
        <v>92565.000000000087</v>
      </c>
    </row>
    <row r="73" spans="2:11" ht="15" customHeight="1" thickTop="1">
      <c r="F73" s="494">
        <v>4</v>
      </c>
      <c r="G73" s="797">
        <v>29620.800000000007</v>
      </c>
      <c r="H73" s="497">
        <f>G73/G72-1</f>
        <v>-4.0000000000000036E-2</v>
      </c>
      <c r="I73" s="498">
        <f>I72+J72</f>
        <v>-2221560</v>
      </c>
      <c r="J73" s="500">
        <f>I73*H74</f>
        <v>88862.399999999834</v>
      </c>
    </row>
    <row r="74" spans="2:11" ht="15" customHeight="1">
      <c r="F74" s="494">
        <v>5</v>
      </c>
      <c r="G74" s="797">
        <v>28435.968000000008</v>
      </c>
      <c r="H74" s="497">
        <f>G74/G73-1</f>
        <v>-3.9999999999999925E-2</v>
      </c>
      <c r="I74" s="498">
        <f>I73+J73</f>
        <v>-2132697.6</v>
      </c>
      <c r="J74" s="500">
        <f>I74*H75</f>
        <v>0</v>
      </c>
    </row>
    <row r="75" spans="2:11" ht="15" customHeight="1">
      <c r="G75" s="419" t="s">
        <v>678</v>
      </c>
    </row>
    <row r="80" spans="2:11" ht="15" customHeight="1" thickBot="1"/>
    <row r="81" spans="2:13" ht="15" customHeight="1" thickBot="1">
      <c r="B81" s="1729" t="s">
        <v>679</v>
      </c>
      <c r="C81" s="1730"/>
      <c r="D81" s="1730"/>
      <c r="E81" s="1730"/>
      <c r="F81" s="1731"/>
    </row>
    <row r="82" spans="2:13" ht="15" customHeight="1">
      <c r="B82" s="502" t="s">
        <v>680</v>
      </c>
      <c r="C82" s="503" t="s">
        <v>681</v>
      </c>
      <c r="D82" s="503" t="s">
        <v>682</v>
      </c>
      <c r="E82" s="503" t="s">
        <v>683</v>
      </c>
      <c r="F82" s="504" t="s">
        <v>684</v>
      </c>
    </row>
    <row r="83" spans="2:13" ht="15" customHeight="1">
      <c r="B83" s="505" t="s">
        <v>685</v>
      </c>
      <c r="C83" s="506">
        <v>1</v>
      </c>
      <c r="D83" s="507">
        <v>330000</v>
      </c>
      <c r="E83" s="508">
        <v>0.4</v>
      </c>
      <c r="F83" s="509">
        <f>D83*(1+E83)*13*C83</f>
        <v>6005999.9999999991</v>
      </c>
    </row>
    <row r="84" spans="2:13" ht="15" customHeight="1">
      <c r="B84" s="505" t="s">
        <v>686</v>
      </c>
      <c r="C84" s="506">
        <v>4</v>
      </c>
      <c r="D84" s="507">
        <v>170000</v>
      </c>
      <c r="E84" s="510">
        <v>0.4</v>
      </c>
      <c r="F84" s="509">
        <f>D84*(1+E84)*13*C84</f>
        <v>12375999.999999998</v>
      </c>
    </row>
    <row r="85" spans="2:13" ht="15" customHeight="1" thickBot="1">
      <c r="B85" s="511"/>
      <c r="C85" s="512"/>
      <c r="D85" s="513"/>
      <c r="E85" s="512"/>
      <c r="F85" s="514">
        <f>D85*(1+E85)*13*C85</f>
        <v>0</v>
      </c>
    </row>
    <row r="86" spans="2:13" ht="15" customHeight="1" thickBot="1">
      <c r="C86" s="515"/>
      <c r="D86" s="515"/>
      <c r="E86" s="516" t="s">
        <v>176</v>
      </c>
      <c r="F86" s="517">
        <f>SUM(F83:F85)</f>
        <v>18381999.999999996</v>
      </c>
    </row>
    <row r="87" spans="2:13" ht="15" customHeight="1" thickBot="1"/>
    <row r="88" spans="2:13" ht="15" customHeight="1" thickBot="1">
      <c r="B88" s="1732" t="s">
        <v>576</v>
      </c>
      <c r="C88" s="1733"/>
      <c r="D88" s="1733"/>
      <c r="E88" s="1733"/>
      <c r="F88" s="1733"/>
      <c r="G88" s="1733"/>
      <c r="H88" s="1733"/>
      <c r="I88" s="1733"/>
      <c r="J88" s="1733"/>
      <c r="K88" s="1734"/>
    </row>
    <row r="89" spans="2:13" ht="15" customHeight="1">
      <c r="B89" s="518" t="s">
        <v>577</v>
      </c>
      <c r="C89" s="519" t="s">
        <v>578</v>
      </c>
      <c r="D89" s="520" t="s">
        <v>579</v>
      </c>
      <c r="E89" s="520" t="s">
        <v>102</v>
      </c>
      <c r="F89" s="520" t="s">
        <v>580</v>
      </c>
      <c r="G89" s="520" t="s">
        <v>581</v>
      </c>
      <c r="H89" s="520" t="s">
        <v>582</v>
      </c>
      <c r="I89" s="521" t="s">
        <v>583</v>
      </c>
      <c r="J89" s="522" t="s">
        <v>584</v>
      </c>
      <c r="K89" s="518" t="s">
        <v>585</v>
      </c>
      <c r="M89" s="518" t="s">
        <v>586</v>
      </c>
    </row>
    <row r="90" spans="2:13" ht="15" customHeight="1">
      <c r="B90" s="523" t="s">
        <v>587</v>
      </c>
      <c r="C90" s="524">
        <v>580</v>
      </c>
      <c r="D90" s="506" t="s">
        <v>519</v>
      </c>
      <c r="E90" s="525"/>
      <c r="F90" s="525">
        <v>0.2</v>
      </c>
      <c r="G90" s="526">
        <f>1-F90</f>
        <v>0.8</v>
      </c>
      <c r="H90" s="527">
        <f>C90/G90</f>
        <v>725</v>
      </c>
      <c r="I90" s="506">
        <v>5</v>
      </c>
      <c r="J90" s="528">
        <f>I90*H90*(1+E90)</f>
        <v>3625</v>
      </c>
      <c r="K90" s="1735">
        <f>SUM(J90:J94)</f>
        <v>4354.5</v>
      </c>
      <c r="L90" s="1717" t="s">
        <v>588</v>
      </c>
      <c r="M90" s="1718">
        <f>SUM(K90,L94)</f>
        <v>4554.5</v>
      </c>
    </row>
    <row r="91" spans="2:13" ht="15" customHeight="1">
      <c r="B91" s="523" t="s">
        <v>589</v>
      </c>
      <c r="C91" s="524">
        <v>100</v>
      </c>
      <c r="D91" s="506" t="s">
        <v>519</v>
      </c>
      <c r="E91" s="525">
        <v>0.1</v>
      </c>
      <c r="F91" s="525"/>
      <c r="G91" s="526">
        <f>1-F91</f>
        <v>1</v>
      </c>
      <c r="H91" s="527">
        <f>C91/G91</f>
        <v>100</v>
      </c>
      <c r="I91" s="526">
        <v>1</v>
      </c>
      <c r="J91" s="528">
        <f>I91*C91*(1+E91)</f>
        <v>110.00000000000001</v>
      </c>
      <c r="K91" s="1736"/>
      <c r="L91" s="1717"/>
      <c r="M91" s="1718"/>
    </row>
    <row r="92" spans="2:13" ht="15" customHeight="1">
      <c r="B92" s="523" t="s">
        <v>590</v>
      </c>
      <c r="C92" s="524">
        <v>150</v>
      </c>
      <c r="D92" s="506" t="s">
        <v>591</v>
      </c>
      <c r="E92" s="525"/>
      <c r="F92" s="525"/>
      <c r="G92" s="526">
        <f>1-F92</f>
        <v>1</v>
      </c>
      <c r="H92" s="527">
        <f>C92/G92</f>
        <v>150</v>
      </c>
      <c r="I92" s="506">
        <v>0.35</v>
      </c>
      <c r="J92" s="528">
        <f>I92*C92*(1+E92)</f>
        <v>52.5</v>
      </c>
      <c r="K92" s="1736"/>
      <c r="L92" s="1717"/>
      <c r="M92" s="1718"/>
    </row>
    <row r="93" spans="2:13" ht="15" customHeight="1">
      <c r="B93" s="523" t="s">
        <v>592</v>
      </c>
      <c r="C93" s="524">
        <v>63</v>
      </c>
      <c r="D93" s="506" t="s">
        <v>591</v>
      </c>
      <c r="E93" s="525"/>
      <c r="F93" s="525"/>
      <c r="G93" s="526">
        <f>1-F93</f>
        <v>1</v>
      </c>
      <c r="H93" s="527">
        <f>C93/G93</f>
        <v>63</v>
      </c>
      <c r="I93" s="506">
        <v>8</v>
      </c>
      <c r="J93" s="528">
        <f>I93*C93*(1+E93)</f>
        <v>504</v>
      </c>
      <c r="K93" s="1736"/>
      <c r="L93" s="1717"/>
      <c r="M93" s="1718"/>
    </row>
    <row r="94" spans="2:13" ht="15" customHeight="1" thickBot="1">
      <c r="B94" s="529" t="s">
        <v>593</v>
      </c>
      <c r="C94" s="530">
        <v>63</v>
      </c>
      <c r="D94" s="512" t="s">
        <v>594</v>
      </c>
      <c r="E94" s="531"/>
      <c r="F94" s="531"/>
      <c r="G94" s="526">
        <f>1-F94</f>
        <v>1</v>
      </c>
      <c r="H94" s="527">
        <f>C94/G94</f>
        <v>63</v>
      </c>
      <c r="I94" s="512">
        <v>1</v>
      </c>
      <c r="J94" s="528">
        <f>I94*C94*(1+E94)</f>
        <v>63</v>
      </c>
      <c r="K94" s="1737"/>
      <c r="L94" s="532">
        <v>200</v>
      </c>
      <c r="M94" s="1718"/>
    </row>
    <row r="95" spans="2:13" ht="15" customHeight="1">
      <c r="C95" s="419" t="s">
        <v>595</v>
      </c>
      <c r="E95" s="1719" t="s">
        <v>596</v>
      </c>
      <c r="F95" s="1720"/>
      <c r="I95" s="419" t="s">
        <v>595</v>
      </c>
      <c r="L95" s="419" t="s">
        <v>597</v>
      </c>
    </row>
  </sheetData>
  <mergeCells count="12">
    <mergeCell ref="E95:F95"/>
    <mergeCell ref="B2:C4"/>
    <mergeCell ref="E5:P5"/>
    <mergeCell ref="Q5:AB5"/>
    <mergeCell ref="E19:P19"/>
    <mergeCell ref="Q19:AB19"/>
    <mergeCell ref="F66:J66"/>
    <mergeCell ref="B81:F81"/>
    <mergeCell ref="B88:K88"/>
    <mergeCell ref="K90:K94"/>
    <mergeCell ref="L90:L93"/>
    <mergeCell ref="M90:M94"/>
  </mergeCells>
  <conditionalFormatting sqref="B81">
    <cfRule type="containsText" dxfId="14" priority="1" operator="containsText" text="999">
      <formula>NOT(ISERROR(SEARCH(("999"),(B81))))</formula>
    </cfRule>
  </conditionalFormatting>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19353-D805-4842-B6F3-F85794854EEA}">
  <sheetPr>
    <outlinePr summaryBelow="0" summaryRight="0"/>
  </sheetPr>
  <dimension ref="A1:S81"/>
  <sheetViews>
    <sheetView topLeftCell="K13" workbookViewId="0">
      <selection activeCell="R36" sqref="R36"/>
    </sheetView>
  </sheetViews>
  <sheetFormatPr defaultColWidth="14.42578125" defaultRowHeight="15.75" customHeight="1"/>
  <cols>
    <col min="1" max="1" width="24" style="600" customWidth="1"/>
    <col min="2" max="3" width="15.42578125" style="600" bestFit="1" customWidth="1"/>
    <col min="4" max="4" width="17" style="600" customWidth="1"/>
    <col min="5" max="5" width="19.28515625" style="600" customWidth="1"/>
    <col min="6" max="6" width="19" style="600" customWidth="1"/>
    <col min="7" max="16384" width="14.42578125" style="600"/>
  </cols>
  <sheetData>
    <row r="1" spans="1:11" ht="15.75" customHeight="1">
      <c r="A1" s="938" t="s">
        <v>1031</v>
      </c>
      <c r="B1" s="938"/>
      <c r="C1" s="939"/>
      <c r="D1" s="940"/>
      <c r="E1" s="940"/>
      <c r="F1" s="940"/>
      <c r="H1" s="941" t="s">
        <v>141</v>
      </c>
      <c r="I1" s="942"/>
    </row>
    <row r="2" spans="1:11" ht="15.75" customHeight="1">
      <c r="A2" s="938" t="s">
        <v>1031</v>
      </c>
      <c r="B2" s="938"/>
      <c r="C2" s="939"/>
      <c r="D2" s="939"/>
      <c r="E2" s="940"/>
      <c r="F2" s="940"/>
      <c r="H2" s="942" t="s">
        <v>1032</v>
      </c>
      <c r="I2" s="942">
        <v>0.75</v>
      </c>
      <c r="J2" s="943" t="s">
        <v>1033</v>
      </c>
      <c r="K2" s="944"/>
    </row>
    <row r="3" spans="1:11" ht="15.75" customHeight="1">
      <c r="A3" s="938" t="s">
        <v>1034</v>
      </c>
      <c r="B3" s="938"/>
      <c r="C3" s="939"/>
      <c r="D3" s="939"/>
      <c r="E3" s="940"/>
      <c r="F3" s="940"/>
      <c r="H3" s="942"/>
      <c r="I3" s="942"/>
      <c r="J3" s="600" t="s">
        <v>1035</v>
      </c>
    </row>
    <row r="4" spans="1:11" ht="15.75" customHeight="1">
      <c r="A4" s="945" t="s">
        <v>1036</v>
      </c>
      <c r="B4" s="945"/>
      <c r="C4" s="939"/>
      <c r="D4" s="939"/>
      <c r="E4" s="940"/>
      <c r="F4" s="940"/>
      <c r="H4" s="942"/>
      <c r="I4" s="942"/>
    </row>
    <row r="5" spans="1:11" ht="15.75" customHeight="1">
      <c r="H5" s="942"/>
      <c r="I5" s="942"/>
    </row>
    <row r="6" spans="1:11" ht="15.75" customHeight="1">
      <c r="A6" s="946" t="s">
        <v>1037</v>
      </c>
      <c r="B6" s="947"/>
      <c r="C6" s="947"/>
      <c r="D6" s="947"/>
      <c r="E6" s="947"/>
      <c r="F6" s="947"/>
      <c r="H6" s="942"/>
      <c r="I6" s="942"/>
    </row>
    <row r="7" spans="1:11" ht="15.75" customHeight="1">
      <c r="A7" s="948" t="s">
        <v>1038</v>
      </c>
      <c r="B7" s="949">
        <v>1</v>
      </c>
      <c r="C7" s="949">
        <v>2</v>
      </c>
      <c r="D7" s="949">
        <v>3</v>
      </c>
      <c r="E7" s="949">
        <v>4</v>
      </c>
      <c r="F7" s="949">
        <v>5</v>
      </c>
      <c r="H7" s="942"/>
      <c r="I7" s="942"/>
    </row>
    <row r="8" spans="1:11" ht="15.75" customHeight="1">
      <c r="A8" s="950" t="s">
        <v>1039</v>
      </c>
      <c r="B8" s="951">
        <v>999</v>
      </c>
      <c r="C8" s="951">
        <v>999</v>
      </c>
      <c r="D8" s="951">
        <v>999</v>
      </c>
      <c r="E8" s="951">
        <v>999</v>
      </c>
      <c r="F8" s="951">
        <v>999</v>
      </c>
      <c r="H8" s="942"/>
      <c r="I8" s="942"/>
    </row>
    <row r="9" spans="1:11" ht="15.75" customHeight="1">
      <c r="A9" s="950" t="s">
        <v>1040</v>
      </c>
      <c r="B9" s="952">
        <v>9999</v>
      </c>
      <c r="C9" s="952">
        <f>(((C8 - B8) / B8) /$I2 ) *B9 + B9</f>
        <v>9999</v>
      </c>
      <c r="D9" s="952">
        <f>(((D8 - C8) / C8) /$I2 ) *C9 + C9</f>
        <v>9999</v>
      </c>
      <c r="E9" s="952">
        <f>(((E8 - D8) / D8) /$I2 ) *D9 + D9</f>
        <v>9999</v>
      </c>
      <c r="F9" s="952">
        <f>(((F8 - E8) / E8) /$I2 ) *E9 + E9</f>
        <v>9999</v>
      </c>
      <c r="H9" s="942"/>
      <c r="I9" s="942"/>
    </row>
    <row r="10" spans="1:11" ht="15.75" customHeight="1">
      <c r="A10" s="953" t="s">
        <v>1041</v>
      </c>
      <c r="B10" s="954">
        <f>B8*B9</f>
        <v>9989001</v>
      </c>
      <c r="C10" s="954">
        <f>C8*C9</f>
        <v>9989001</v>
      </c>
      <c r="D10" s="954">
        <f>D8*D9</f>
        <v>9989001</v>
      </c>
      <c r="E10" s="954">
        <f>E8*E9</f>
        <v>9989001</v>
      </c>
      <c r="F10" s="954">
        <f>F8*F9</f>
        <v>9989001</v>
      </c>
      <c r="H10" s="942"/>
      <c r="I10" s="942"/>
    </row>
    <row r="11" spans="1:11" ht="15.75" customHeight="1">
      <c r="A11" s="950" t="s">
        <v>1042</v>
      </c>
      <c r="B11" s="955">
        <v>999</v>
      </c>
      <c r="C11" s="955">
        <v>999</v>
      </c>
      <c r="D11" s="955">
        <v>999</v>
      </c>
      <c r="E11" s="955">
        <v>999</v>
      </c>
      <c r="F11" s="955">
        <v>999</v>
      </c>
      <c r="H11" s="942"/>
      <c r="I11" s="942"/>
    </row>
    <row r="12" spans="1:11" ht="15.75" customHeight="1">
      <c r="A12" s="950" t="s">
        <v>529</v>
      </c>
      <c r="B12" s="956">
        <f>B11*B8</f>
        <v>998001</v>
      </c>
      <c r="C12" s="956">
        <f>C11*C8</f>
        <v>998001</v>
      </c>
      <c r="D12" s="956">
        <f>D11*D8</f>
        <v>998001</v>
      </c>
      <c r="E12" s="956">
        <f>E11*E8</f>
        <v>998001</v>
      </c>
      <c r="F12" s="956">
        <f>F11*F8</f>
        <v>998001</v>
      </c>
      <c r="H12" s="942"/>
      <c r="I12" s="942"/>
    </row>
    <row r="13" spans="1:11" ht="15.75" customHeight="1">
      <c r="A13" s="600" t="s">
        <v>1043</v>
      </c>
      <c r="H13" s="942"/>
      <c r="I13" s="942"/>
    </row>
    <row r="19" spans="1:19" ht="15.75" customHeight="1" thickBot="1">
      <c r="A19" s="600" t="s">
        <v>1044</v>
      </c>
    </row>
    <row r="20" spans="1:19" ht="15.75" customHeight="1" thickBot="1">
      <c r="A20" s="1816" t="s">
        <v>1045</v>
      </c>
      <c r="B20" s="1817"/>
      <c r="C20" s="1817"/>
      <c r="D20" s="1817"/>
      <c r="E20" s="1817"/>
      <c r="F20" s="1818"/>
    </row>
    <row r="21" spans="1:19" ht="15.75" customHeight="1" thickTop="1" thickBot="1">
      <c r="A21" s="957" t="s">
        <v>427</v>
      </c>
      <c r="B21" s="958">
        <v>1</v>
      </c>
      <c r="C21" s="959">
        <v>2</v>
      </c>
      <c r="D21" s="959">
        <v>3</v>
      </c>
      <c r="E21" s="959">
        <v>4</v>
      </c>
      <c r="F21" s="960">
        <v>5</v>
      </c>
      <c r="I21" s="600" t="s">
        <v>1046</v>
      </c>
      <c r="M21" s="1819" t="s">
        <v>1047</v>
      </c>
      <c r="N21" s="1820"/>
      <c r="O21" s="1820"/>
      <c r="P21" s="1820"/>
      <c r="Q21" s="1820"/>
      <c r="R21" s="1821"/>
    </row>
    <row r="22" spans="1:19" ht="15.75" customHeight="1" thickBot="1">
      <c r="A22" s="961" t="s">
        <v>827</v>
      </c>
      <c r="B22" s="962"/>
      <c r="C22" s="963">
        <v>0</v>
      </c>
      <c r="D22" s="963">
        <v>0</v>
      </c>
      <c r="E22" s="963">
        <v>-0.8</v>
      </c>
      <c r="F22" s="964">
        <v>-0.8</v>
      </c>
      <c r="G22" s="1822" t="s">
        <v>1048</v>
      </c>
      <c r="I22" s="600" t="s">
        <v>1049</v>
      </c>
      <c r="M22" s="965" t="s">
        <v>427</v>
      </c>
      <c r="N22" s="966">
        <v>1</v>
      </c>
      <c r="O22" s="966">
        <v>2</v>
      </c>
      <c r="P22" s="966">
        <v>3</v>
      </c>
      <c r="Q22" s="966">
        <v>4</v>
      </c>
      <c r="R22" s="967">
        <v>5</v>
      </c>
    </row>
    <row r="23" spans="1:19" ht="15.75" customHeight="1" thickBot="1">
      <c r="A23" s="961" t="s">
        <v>177</v>
      </c>
      <c r="B23" s="968">
        <v>25500</v>
      </c>
      <c r="C23" s="969">
        <v>28050</v>
      </c>
      <c r="D23" s="969">
        <v>30855</v>
      </c>
      <c r="E23" s="969">
        <v>29620</v>
      </c>
      <c r="F23" s="970">
        <v>28435</v>
      </c>
      <c r="G23" s="1822"/>
      <c r="I23" s="600" t="s">
        <v>1050</v>
      </c>
      <c r="M23" s="965" t="s">
        <v>1032</v>
      </c>
      <c r="N23" s="971"/>
      <c r="O23" s="972"/>
      <c r="P23" s="972"/>
      <c r="Q23" s="972">
        <v>0.8</v>
      </c>
      <c r="R23" s="972">
        <v>0.8</v>
      </c>
      <c r="S23" s="600" t="s">
        <v>1516</v>
      </c>
    </row>
    <row r="24" spans="1:19" ht="15.75" customHeight="1" thickBot="1">
      <c r="A24" s="961" t="s">
        <v>828</v>
      </c>
      <c r="B24" s="973"/>
      <c r="C24" s="526">
        <v>0</v>
      </c>
      <c r="D24" s="526">
        <v>0</v>
      </c>
      <c r="E24" s="526">
        <f>(E23-D23)/D23</f>
        <v>-4.0025927726462483E-2</v>
      </c>
      <c r="F24" s="974">
        <f>(F23-E23)/E23</f>
        <v>-4.0006752194463202E-2</v>
      </c>
      <c r="I24" s="600" t="s">
        <v>1051</v>
      </c>
      <c r="M24" s="965" t="s">
        <v>220</v>
      </c>
      <c r="N24" s="975">
        <v>3500</v>
      </c>
      <c r="O24" s="975">
        <v>3500</v>
      </c>
      <c r="P24" s="975">
        <v>3500</v>
      </c>
      <c r="Q24" s="975">
        <f>P24*(1+Q25)</f>
        <v>3675</v>
      </c>
      <c r="R24" s="975">
        <f>Q24*(1+R25)</f>
        <v>3858.75</v>
      </c>
      <c r="S24" s="600" t="s">
        <v>1078</v>
      </c>
    </row>
    <row r="25" spans="1:19" ht="15.75" customHeight="1" thickBot="1">
      <c r="A25" s="961" t="s">
        <v>829</v>
      </c>
      <c r="B25" s="973"/>
      <c r="C25" s="526">
        <v>0</v>
      </c>
      <c r="D25" s="526">
        <v>0</v>
      </c>
      <c r="E25" s="526">
        <f>E24/E22</f>
        <v>5.0032409658078099E-2</v>
      </c>
      <c r="F25" s="974">
        <f>F24/F22</f>
        <v>5.0008440243079003E-2</v>
      </c>
      <c r="M25" s="965" t="s">
        <v>829</v>
      </c>
      <c r="N25" s="971"/>
      <c r="O25" s="976">
        <v>0</v>
      </c>
      <c r="P25" s="976">
        <v>0</v>
      </c>
      <c r="Q25" s="976">
        <v>0.05</v>
      </c>
      <c r="R25" s="977">
        <v>0.05</v>
      </c>
      <c r="S25" s="600" t="s">
        <v>1070</v>
      </c>
    </row>
    <row r="26" spans="1:19" ht="15.75" customHeight="1" thickBot="1">
      <c r="A26" s="978" t="s">
        <v>1052</v>
      </c>
      <c r="B26" s="979">
        <v>3500</v>
      </c>
      <c r="C26" s="980">
        <v>3500</v>
      </c>
      <c r="D26" s="980">
        <f>C26*(1+D25)</f>
        <v>3500</v>
      </c>
      <c r="E26" s="980">
        <f>D26*(1+E25)</f>
        <v>3675.1134338032739</v>
      </c>
      <c r="F26" s="981">
        <f>E26*(1+F25)</f>
        <v>3858.9001243441617</v>
      </c>
      <c r="I26" s="600" t="s">
        <v>1053</v>
      </c>
      <c r="M26" s="965" t="s">
        <v>1054</v>
      </c>
      <c r="N26" s="971"/>
      <c r="O26" s="976">
        <v>0</v>
      </c>
      <c r="P26" s="976">
        <v>0</v>
      </c>
      <c r="Q26" s="1032">
        <f>-Q23*Q25</f>
        <v>-4.0000000000000008E-2</v>
      </c>
      <c r="R26" s="1032">
        <f>-R23*R25</f>
        <v>-4.0000000000000008E-2</v>
      </c>
      <c r="S26" s="600" t="s">
        <v>1515</v>
      </c>
    </row>
    <row r="27" spans="1:19" ht="15.75" customHeight="1" thickBot="1">
      <c r="A27" s="600" t="s">
        <v>1055</v>
      </c>
      <c r="B27" s="982">
        <f>B23*B26</f>
        <v>89250000</v>
      </c>
      <c r="C27" s="982">
        <f>C23*C26</f>
        <v>98175000</v>
      </c>
      <c r="D27" s="982">
        <f>D23*D26</f>
        <v>107992500</v>
      </c>
      <c r="E27" s="982">
        <f>E23*E26</f>
        <v>108856859.90925297</v>
      </c>
      <c r="F27" s="982">
        <f>F23*F26</f>
        <v>109727825.03572623</v>
      </c>
      <c r="I27" s="600" t="s">
        <v>1056</v>
      </c>
      <c r="M27" s="983" t="s">
        <v>177</v>
      </c>
      <c r="N27" s="1578">
        <v>25500</v>
      </c>
      <c r="O27" s="1578">
        <v>28050</v>
      </c>
      <c r="P27" s="1578">
        <v>30855</v>
      </c>
      <c r="Q27" s="1579">
        <f>P27*(1+Q26)</f>
        <v>29620.799999999999</v>
      </c>
      <c r="R27" s="1579">
        <f>Q27*(1+R26)</f>
        <v>28435.967999999997</v>
      </c>
      <c r="S27" s="600" t="s">
        <v>1072</v>
      </c>
    </row>
    <row r="28" spans="1:19" ht="15.75" customHeight="1" thickTop="1">
      <c r="N28" s="600">
        <f>425000*0.06</f>
        <v>25500</v>
      </c>
      <c r="O28" s="600">
        <f>N27*1.1</f>
        <v>28050.000000000004</v>
      </c>
      <c r="P28" s="600">
        <f>O28*1.1</f>
        <v>30855.000000000007</v>
      </c>
      <c r="S28" s="600" t="s">
        <v>1073</v>
      </c>
    </row>
    <row r="29" spans="1:19" ht="15.75" customHeight="1">
      <c r="S29" s="600" t="s">
        <v>1074</v>
      </c>
    </row>
    <row r="30" spans="1:19" ht="15.75" customHeight="1">
      <c r="S30" s="600" t="s">
        <v>1075</v>
      </c>
    </row>
    <row r="31" spans="1:19" ht="15.75" customHeight="1">
      <c r="S31" s="600" t="s">
        <v>1076</v>
      </c>
    </row>
    <row r="32" spans="1:19" ht="15.75" customHeight="1" thickBot="1">
      <c r="A32" s="600" t="s">
        <v>788</v>
      </c>
    </row>
    <row r="33" spans="1:5" ht="15.75" customHeight="1" thickBot="1">
      <c r="A33" s="1816" t="s">
        <v>789</v>
      </c>
      <c r="B33" s="1817"/>
      <c r="C33" s="1817"/>
      <c r="D33" s="1817"/>
      <c r="E33" s="1818"/>
    </row>
    <row r="34" spans="1:5" ht="15.75" customHeight="1" thickBot="1">
      <c r="A34" s="984" t="s">
        <v>105</v>
      </c>
      <c r="B34" s="985" t="s">
        <v>220</v>
      </c>
      <c r="C34" s="986" t="s">
        <v>790</v>
      </c>
      <c r="D34" s="986" t="s">
        <v>791</v>
      </c>
      <c r="E34" s="987" t="s">
        <v>792</v>
      </c>
    </row>
    <row r="35" spans="1:5" ht="15.75" customHeight="1">
      <c r="A35" s="988" t="s">
        <v>451</v>
      </c>
      <c r="B35" s="606">
        <v>8700</v>
      </c>
      <c r="C35" s="989">
        <v>4500000</v>
      </c>
      <c r="D35" s="608">
        <v>800000</v>
      </c>
      <c r="E35" s="990">
        <f>C35*E42+D35*E43</f>
        <v>199000</v>
      </c>
    </row>
    <row r="36" spans="1:5" ht="15.75" customHeight="1">
      <c r="A36" s="991" t="s">
        <v>632</v>
      </c>
      <c r="B36" s="611">
        <v>8800</v>
      </c>
      <c r="C36" s="526">
        <v>4600000</v>
      </c>
      <c r="D36" s="613">
        <v>800000</v>
      </c>
      <c r="E36" s="974">
        <f>C36*E42+D36*E43+(B36-B35)*E44</f>
        <v>192000</v>
      </c>
    </row>
    <row r="37" spans="1:5" ht="15.75" customHeight="1">
      <c r="A37" s="991" t="s">
        <v>793</v>
      </c>
      <c r="B37" s="611">
        <v>8800</v>
      </c>
      <c r="C37" s="526">
        <v>4750000</v>
      </c>
      <c r="D37" s="613">
        <v>900000</v>
      </c>
      <c r="E37" s="974">
        <f>C37*E42+D37*E43+(B37-B36)*E44</f>
        <v>214500</v>
      </c>
    </row>
    <row r="38" spans="1:5" ht="15.75" customHeight="1">
      <c r="A38" s="991" t="s">
        <v>794</v>
      </c>
      <c r="B38" s="611">
        <v>8900</v>
      </c>
      <c r="C38" s="526">
        <v>4850000</v>
      </c>
      <c r="D38" s="613">
        <v>900000</v>
      </c>
      <c r="E38" s="974">
        <f>C38*E42+D38*E43+(B38-B37)*E44</f>
        <v>207500</v>
      </c>
    </row>
    <row r="39" spans="1:5" ht="15.75" customHeight="1" thickBot="1">
      <c r="A39" s="992" t="s">
        <v>795</v>
      </c>
      <c r="B39" s="616">
        <v>9000</v>
      </c>
      <c r="C39" s="993">
        <v>4900000</v>
      </c>
      <c r="D39" s="618">
        <v>900000</v>
      </c>
      <c r="E39" s="994">
        <f>C39*E42+D39*E43+(B39-B38)*E44</f>
        <v>209000</v>
      </c>
    </row>
    <row r="40" spans="1:5" ht="15.75" customHeight="1" thickBot="1">
      <c r="A40" s="384"/>
      <c r="B40" s="384"/>
      <c r="C40" s="384"/>
      <c r="D40" s="384"/>
      <c r="E40" s="384"/>
    </row>
    <row r="41" spans="1:5" ht="15.75" customHeight="1">
      <c r="A41" s="995" t="s">
        <v>796</v>
      </c>
      <c r="B41" s="384"/>
      <c r="C41" s="384"/>
      <c r="D41" s="1823" t="s">
        <v>797</v>
      </c>
      <c r="E41" s="1824"/>
    </row>
    <row r="42" spans="1:5" ht="15.75" customHeight="1">
      <c r="A42" s="384"/>
      <c r="B42" s="384"/>
      <c r="C42" s="384"/>
      <c r="D42" s="996" t="s">
        <v>798</v>
      </c>
      <c r="E42" s="997">
        <v>0.03</v>
      </c>
    </row>
    <row r="43" spans="1:5" ht="15.75" customHeight="1">
      <c r="A43" s="384"/>
      <c r="B43" s="384"/>
      <c r="C43" s="384"/>
      <c r="D43" s="996" t="s">
        <v>799</v>
      </c>
      <c r="E43" s="997">
        <v>0.08</v>
      </c>
    </row>
    <row r="44" spans="1:5" ht="15.75" customHeight="1" thickBot="1">
      <c r="A44" s="384"/>
      <c r="B44" s="384"/>
      <c r="C44" s="384"/>
      <c r="D44" s="998" t="s">
        <v>800</v>
      </c>
      <c r="E44" s="999">
        <v>-100</v>
      </c>
    </row>
    <row r="52" spans="2:9" ht="15.75" customHeight="1" thickBot="1"/>
    <row r="53" spans="2:9" ht="15.75" customHeight="1">
      <c r="B53" s="1000"/>
      <c r="C53" s="1001"/>
      <c r="D53" s="1001"/>
      <c r="E53" s="1001"/>
      <c r="F53" s="1001"/>
      <c r="G53" s="1001"/>
      <c r="H53" s="1001"/>
      <c r="I53" s="1002"/>
    </row>
    <row r="54" spans="2:9" ht="15.75" customHeight="1" thickBot="1">
      <c r="B54" s="1003"/>
      <c r="C54" s="384"/>
      <c r="D54" s="448"/>
      <c r="E54" s="448"/>
      <c r="F54" s="448"/>
      <c r="G54" s="448"/>
      <c r="H54" s="448"/>
      <c r="I54" s="1004"/>
    </row>
    <row r="55" spans="2:9" ht="15.75" customHeight="1" thickBot="1">
      <c r="B55" s="1003" t="s">
        <v>1057</v>
      </c>
      <c r="C55" s="1816" t="s">
        <v>1058</v>
      </c>
      <c r="D55" s="1817"/>
      <c r="E55" s="1817"/>
      <c r="F55" s="1817"/>
      <c r="G55" s="1817"/>
      <c r="H55" s="1818"/>
      <c r="I55" s="1005"/>
    </row>
    <row r="56" spans="2:9" ht="15.75" customHeight="1" thickBot="1">
      <c r="B56" s="1003"/>
      <c r="C56" s="1006" t="s">
        <v>1059</v>
      </c>
      <c r="D56" s="1007" t="s">
        <v>451</v>
      </c>
      <c r="E56" s="1008" t="s">
        <v>1060</v>
      </c>
      <c r="F56" s="1008" t="s">
        <v>793</v>
      </c>
      <c r="G56" s="1008" t="s">
        <v>794</v>
      </c>
      <c r="H56" s="1009" t="s">
        <v>795</v>
      </c>
      <c r="I56" s="1005"/>
    </row>
    <row r="57" spans="2:9" ht="15.75" customHeight="1" thickBot="1">
      <c r="B57" s="1003"/>
      <c r="C57" s="1010" t="s">
        <v>176</v>
      </c>
      <c r="D57" s="1011"/>
      <c r="E57" s="1011"/>
      <c r="F57" s="1011"/>
      <c r="G57" s="1011"/>
      <c r="H57" s="1012"/>
      <c r="I57" s="1005"/>
    </row>
    <row r="58" spans="2:9" ht="15.75" customHeight="1" thickBot="1">
      <c r="B58" s="1003"/>
      <c r="C58" s="1010" t="s">
        <v>1061</v>
      </c>
      <c r="D58" s="1013">
        <v>15000</v>
      </c>
      <c r="E58" s="1013">
        <v>20000</v>
      </c>
      <c r="F58" s="1013">
        <v>30000</v>
      </c>
      <c r="G58" s="1013">
        <v>40000</v>
      </c>
      <c r="H58" s="1014">
        <v>50000</v>
      </c>
      <c r="I58" s="1005"/>
    </row>
    <row r="59" spans="2:9" ht="15.75" customHeight="1" thickBot="1">
      <c r="B59" s="1003"/>
      <c r="C59" s="384"/>
      <c r="D59" s="384"/>
      <c r="E59" s="384"/>
      <c r="F59" s="384"/>
      <c r="G59" s="384"/>
      <c r="H59" s="384"/>
      <c r="I59" s="1005"/>
    </row>
    <row r="60" spans="2:9" ht="15.75" customHeight="1" thickBot="1">
      <c r="B60" s="1003"/>
      <c r="C60" s="384"/>
      <c r="D60" s="1015" t="s">
        <v>1062</v>
      </c>
      <c r="E60" s="1016" t="s">
        <v>1063</v>
      </c>
      <c r="F60" s="384"/>
      <c r="G60" s="384"/>
      <c r="H60" s="384"/>
      <c r="I60" s="1005"/>
    </row>
    <row r="61" spans="2:9" ht="15.75" customHeight="1">
      <c r="B61" s="1003"/>
      <c r="C61" s="384"/>
      <c r="D61" s="1017"/>
      <c r="E61" s="1018">
        <v>0.1</v>
      </c>
      <c r="F61" s="1019" t="s">
        <v>1064</v>
      </c>
      <c r="G61" s="384"/>
      <c r="H61" s="384"/>
      <c r="I61" s="1005"/>
    </row>
    <row r="62" spans="2:9" ht="15.75" customHeight="1">
      <c r="B62" s="1003"/>
      <c r="C62" s="384"/>
      <c r="D62" s="1017"/>
      <c r="E62" s="1018">
        <v>0.2</v>
      </c>
      <c r="F62" s="384"/>
      <c r="G62" s="384"/>
      <c r="H62" s="384"/>
      <c r="I62" s="1005"/>
    </row>
    <row r="63" spans="2:9" ht="15.75" customHeight="1">
      <c r="B63" s="1003"/>
      <c r="C63" s="384"/>
      <c r="D63" s="1017"/>
      <c r="E63" s="1018">
        <v>0.1</v>
      </c>
      <c r="F63" s="384"/>
      <c r="G63" s="384"/>
      <c r="H63" s="384"/>
      <c r="I63" s="1005"/>
    </row>
    <row r="64" spans="2:9" ht="15.75" customHeight="1">
      <c r="B64" s="1003"/>
      <c r="C64" s="384"/>
      <c r="D64" s="1017"/>
      <c r="E64" s="1018">
        <v>0.15</v>
      </c>
      <c r="F64" s="384"/>
      <c r="G64" s="384"/>
      <c r="H64" s="384"/>
      <c r="I64" s="1005"/>
    </row>
    <row r="65" spans="2:9" ht="15.75" customHeight="1" thickBot="1">
      <c r="B65" s="1003"/>
      <c r="C65" s="384"/>
      <c r="D65" s="1020"/>
      <c r="E65" s="1021">
        <v>0.1</v>
      </c>
      <c r="F65" s="384"/>
      <c r="G65" s="384"/>
      <c r="H65" s="384"/>
      <c r="I65" s="1005"/>
    </row>
    <row r="66" spans="2:9" ht="15.75" customHeight="1" thickBot="1">
      <c r="B66" s="1003"/>
      <c r="C66" s="384"/>
      <c r="D66" s="384"/>
      <c r="E66" s="384"/>
      <c r="F66" s="384"/>
      <c r="G66" s="384"/>
      <c r="H66" s="384"/>
      <c r="I66" s="1005"/>
    </row>
    <row r="67" spans="2:9" ht="15.75" customHeight="1" thickBot="1">
      <c r="B67" s="1003"/>
      <c r="C67" s="1816" t="s">
        <v>1065</v>
      </c>
      <c r="D67" s="1817"/>
      <c r="E67" s="1817"/>
      <c r="F67" s="1817"/>
      <c r="G67" s="1817"/>
      <c r="H67" s="1818"/>
      <c r="I67" s="1005"/>
    </row>
    <row r="68" spans="2:9" ht="15.75" customHeight="1" thickBot="1">
      <c r="B68" s="1003"/>
      <c r="C68" s="1010" t="s">
        <v>1066</v>
      </c>
      <c r="D68" s="1007" t="s">
        <v>451</v>
      </c>
      <c r="E68" s="1008" t="s">
        <v>1060</v>
      </c>
      <c r="F68" s="1008" t="s">
        <v>793</v>
      </c>
      <c r="G68" s="1008" t="s">
        <v>794</v>
      </c>
      <c r="H68" s="1009" t="s">
        <v>795</v>
      </c>
      <c r="I68" s="1005"/>
    </row>
    <row r="69" spans="2:9" ht="15.75" customHeight="1" thickBot="1">
      <c r="B69" s="1003"/>
      <c r="C69" s="1010" t="s">
        <v>1061</v>
      </c>
      <c r="D69" s="512">
        <f>(D58*$E$50)+(D58*$E$51)</f>
        <v>0</v>
      </c>
      <c r="E69" s="512">
        <f>(E58*$E$50)+(E58*$E$51)</f>
        <v>0</v>
      </c>
      <c r="F69" s="512">
        <f>(F58*$E$50)+(F58*$E$51)</f>
        <v>0</v>
      </c>
      <c r="G69" s="512">
        <f>(G58*$E$50)+(G58*$E$51)</f>
        <v>0</v>
      </c>
      <c r="H69" s="999">
        <f>(H58*$E$50)+(H58*$E$51)</f>
        <v>0</v>
      </c>
      <c r="I69" s="1022" t="s">
        <v>1067</v>
      </c>
    </row>
    <row r="70" spans="2:9" ht="15.75" customHeight="1">
      <c r="B70" s="1003"/>
      <c r="C70" s="384"/>
      <c r="D70" s="384"/>
      <c r="E70" s="384"/>
      <c r="F70" s="384"/>
      <c r="G70" s="384"/>
      <c r="H70" s="384"/>
      <c r="I70" s="1005"/>
    </row>
    <row r="71" spans="2:9" ht="15.75" customHeight="1" thickBot="1">
      <c r="B71" s="1003"/>
      <c r="I71" s="1023"/>
    </row>
    <row r="72" spans="2:9" ht="15.75" customHeight="1" thickBot="1">
      <c r="B72" s="1003" t="s">
        <v>1068</v>
      </c>
      <c r="C72" s="1816" t="s">
        <v>1069</v>
      </c>
      <c r="D72" s="1817"/>
      <c r="E72" s="1817"/>
      <c r="F72" s="1817"/>
      <c r="G72" s="1818"/>
      <c r="I72" s="1023"/>
    </row>
    <row r="73" spans="2:9" ht="15.75" customHeight="1" thickBot="1">
      <c r="B73" s="1003"/>
      <c r="C73" s="1007" t="s">
        <v>451</v>
      </c>
      <c r="D73" s="1008" t="s">
        <v>1060</v>
      </c>
      <c r="E73" s="1008" t="s">
        <v>793</v>
      </c>
      <c r="F73" s="1008" t="s">
        <v>794</v>
      </c>
      <c r="G73" s="1009" t="s">
        <v>795</v>
      </c>
      <c r="I73" s="1023"/>
    </row>
    <row r="74" spans="2:9" ht="15.75" customHeight="1" thickBot="1">
      <c r="B74" s="1003"/>
      <c r="C74" s="1024">
        <v>0.2</v>
      </c>
      <c r="D74" s="1025">
        <v>0.3</v>
      </c>
      <c r="E74" s="1025">
        <v>0.4</v>
      </c>
      <c r="F74" s="1025">
        <v>0.3</v>
      </c>
      <c r="G74" s="1026">
        <v>0.2</v>
      </c>
      <c r="I74" s="1023"/>
    </row>
    <row r="75" spans="2:9" ht="15.75" customHeight="1">
      <c r="B75" s="1003"/>
      <c r="I75" s="1023"/>
    </row>
    <row r="76" spans="2:9" ht="15.75" customHeight="1" thickBot="1">
      <c r="B76" s="1003"/>
      <c r="I76" s="1023"/>
    </row>
    <row r="77" spans="2:9" ht="15.75" customHeight="1" thickBot="1">
      <c r="B77" s="1003"/>
      <c r="C77" s="1816" t="s">
        <v>177</v>
      </c>
      <c r="D77" s="1817"/>
      <c r="E77" s="1817"/>
      <c r="F77" s="1817"/>
      <c r="G77" s="1817"/>
      <c r="H77" s="1818"/>
      <c r="I77" s="1004"/>
    </row>
    <row r="78" spans="2:9" ht="15.75" customHeight="1" thickBot="1">
      <c r="B78" s="1003"/>
      <c r="C78" s="1010" t="s">
        <v>1066</v>
      </c>
      <c r="D78" s="1007" t="s">
        <v>451</v>
      </c>
      <c r="E78" s="1008" t="s">
        <v>1060</v>
      </c>
      <c r="F78" s="1008" t="s">
        <v>793</v>
      </c>
      <c r="G78" s="1008" t="s">
        <v>794</v>
      </c>
      <c r="H78" s="1009" t="s">
        <v>795</v>
      </c>
      <c r="I78" s="1005"/>
    </row>
    <row r="79" spans="2:9" ht="15.75" customHeight="1" thickBot="1">
      <c r="B79" s="1003"/>
      <c r="C79" s="1010" t="s">
        <v>1061</v>
      </c>
      <c r="D79" s="512">
        <f>D69*C74</f>
        <v>0</v>
      </c>
      <c r="E79" s="512">
        <f>E69*D74</f>
        <v>0</v>
      </c>
      <c r="F79" s="512">
        <f>F69*E74</f>
        <v>0</v>
      </c>
      <c r="G79" s="512">
        <f>G69*F74</f>
        <v>0</v>
      </c>
      <c r="H79" s="999">
        <f>H69*G74</f>
        <v>0</v>
      </c>
      <c r="I79" s="1005"/>
    </row>
    <row r="80" spans="2:9" ht="15.75" customHeight="1">
      <c r="B80" s="1003"/>
      <c r="C80" s="384"/>
      <c r="D80" s="384"/>
      <c r="E80" s="384"/>
      <c r="F80" s="384"/>
      <c r="G80" s="384"/>
      <c r="H80" s="384"/>
      <c r="I80" s="1005"/>
    </row>
    <row r="81" spans="2:9" ht="15.75" customHeight="1" thickBot="1">
      <c r="B81" s="1027"/>
      <c r="C81" s="1028"/>
      <c r="D81" s="1028"/>
      <c r="E81" s="1028"/>
      <c r="F81" s="1028"/>
      <c r="G81" s="1028"/>
      <c r="H81" s="1028"/>
      <c r="I81" s="1029"/>
    </row>
  </sheetData>
  <mergeCells count="9">
    <mergeCell ref="C67:H67"/>
    <mergeCell ref="C72:G72"/>
    <mergeCell ref="C77:H77"/>
    <mergeCell ref="A20:F20"/>
    <mergeCell ref="M21:R21"/>
    <mergeCell ref="G22:G23"/>
    <mergeCell ref="A33:E33"/>
    <mergeCell ref="D41:E41"/>
    <mergeCell ref="C55:H55"/>
  </mergeCells>
  <conditionalFormatting sqref="C1:C4 A1:B19 D1:I19 K1:Z20 C6:C19 J14:J1000 G20:I22 K21:L27 S21:Z27 H23:I23 G24:I26 A27:I32 K28:Z1000 F33:I44 A45:I52 A53:A81 A82:I1000">
    <cfRule type="containsText" dxfId="13" priority="2" operator="containsText" text="999">
      <formula>NOT(ISERROR(SEARCH(("999"),(A1))))</formula>
    </cfRule>
  </conditionalFormatting>
  <conditionalFormatting sqref="C71:I71 H72:I74 C75:I76 I77">
    <cfRule type="containsText" dxfId="12" priority="1" operator="containsText" text="999">
      <formula>NOT(ISERROR(SEARCH(("999"),(C71))))</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AD30-6983-428B-92DA-7067525C0338}">
  <dimension ref="A1:T1013"/>
  <sheetViews>
    <sheetView topLeftCell="A23" workbookViewId="0">
      <selection activeCell="J59" sqref="J59"/>
    </sheetView>
  </sheetViews>
  <sheetFormatPr defaultColWidth="14.42578125" defaultRowHeight="15" customHeight="1"/>
  <cols>
    <col min="1" max="9" width="12.140625" style="384" customWidth="1"/>
    <col min="10" max="10" width="15.140625" style="384" customWidth="1"/>
    <col min="11" max="11" width="19.42578125" style="384" customWidth="1"/>
    <col min="12" max="12" width="17.85546875" style="384" customWidth="1"/>
    <col min="13" max="13" width="19.7109375" style="384" customWidth="1"/>
    <col min="14" max="14" width="16.5703125" style="384" customWidth="1"/>
    <col min="15" max="16" width="12.140625" style="384" customWidth="1"/>
    <col min="17" max="17" width="8.85546875" style="384" customWidth="1"/>
    <col min="18" max="18" width="12.140625" style="384" customWidth="1"/>
    <col min="19" max="19" width="27.7109375" style="384" customWidth="1"/>
    <col min="20" max="26" width="12.140625" style="384" customWidth="1"/>
    <col min="27" max="16384" width="14.42578125" style="384"/>
  </cols>
  <sheetData>
    <row r="1" spans="1:20" ht="14.25" customHeight="1"/>
    <row r="2" spans="1:20" ht="14.25" customHeight="1" thickBot="1"/>
    <row r="3" spans="1:20" ht="14.25" customHeight="1" thickBot="1">
      <c r="I3" s="422" t="s">
        <v>103</v>
      </c>
      <c r="J3" s="423" t="s">
        <v>606</v>
      </c>
      <c r="K3" s="423"/>
      <c r="L3" s="1696" t="s">
        <v>607</v>
      </c>
      <c r="M3" s="1697"/>
      <c r="N3" s="424">
        <v>0.57999999999999996</v>
      </c>
    </row>
    <row r="4" spans="1:20" ht="14.25" customHeight="1" thickBot="1">
      <c r="A4" s="533" t="s">
        <v>687</v>
      </c>
      <c r="B4" s="534"/>
      <c r="C4" s="534"/>
      <c r="D4" s="534"/>
      <c r="E4" s="534"/>
      <c r="F4" s="534"/>
      <c r="I4" s="423"/>
      <c r="J4" s="423"/>
      <c r="K4" s="423"/>
      <c r="L4" s="1688" t="s">
        <v>608</v>
      </c>
      <c r="M4" s="1689"/>
      <c r="N4" s="425">
        <v>180</v>
      </c>
    </row>
    <row r="5" spans="1:20" ht="14.25" customHeight="1" thickBot="1">
      <c r="A5" s="534" t="s">
        <v>688</v>
      </c>
      <c r="B5" s="534"/>
      <c r="C5" s="534"/>
      <c r="D5" s="534"/>
      <c r="E5" s="534"/>
      <c r="F5" s="534"/>
      <c r="I5" s="426" t="s">
        <v>609</v>
      </c>
      <c r="J5" s="427">
        <v>1950000</v>
      </c>
      <c r="K5" s="423"/>
      <c r="L5" s="1688" t="s">
        <v>610</v>
      </c>
      <c r="M5" s="1689"/>
      <c r="N5" s="425">
        <v>360</v>
      </c>
      <c r="O5" s="384" t="s">
        <v>611</v>
      </c>
    </row>
    <row r="6" spans="1:20" ht="14.25" customHeight="1" thickBot="1">
      <c r="A6" s="534" t="s">
        <v>689</v>
      </c>
      <c r="B6" s="534"/>
      <c r="C6" s="534" t="s">
        <v>690</v>
      </c>
      <c r="D6" s="534"/>
      <c r="E6" s="534"/>
      <c r="F6" s="534"/>
      <c r="I6" s="428" t="s">
        <v>102</v>
      </c>
      <c r="J6" s="429">
        <f>N7</f>
        <v>0.66410000000000013</v>
      </c>
      <c r="K6" s="423"/>
      <c r="L6" s="1688" t="s">
        <v>612</v>
      </c>
      <c r="M6" s="1689"/>
      <c r="N6" s="425">
        <v>360</v>
      </c>
      <c r="R6" s="1700" t="s">
        <v>613</v>
      </c>
      <c r="S6" s="1701"/>
      <c r="T6" s="1702"/>
    </row>
    <row r="7" spans="1:20" ht="14.25" customHeight="1" thickBot="1">
      <c r="A7" s="534"/>
      <c r="B7" s="534"/>
      <c r="C7" s="534" t="s">
        <v>691</v>
      </c>
      <c r="D7" s="534"/>
      <c r="E7" s="534"/>
      <c r="F7" s="534"/>
      <c r="I7" s="430" t="s">
        <v>614</v>
      </c>
      <c r="J7" s="431">
        <v>5</v>
      </c>
      <c r="K7" s="423" t="s">
        <v>615</v>
      </c>
      <c r="L7" s="1690" t="s">
        <v>616</v>
      </c>
      <c r="M7" s="1691"/>
      <c r="N7" s="432">
        <v>0.66410000000000013</v>
      </c>
      <c r="R7" s="1742" t="s">
        <v>484</v>
      </c>
      <c r="S7" s="1743"/>
      <c r="T7" s="535">
        <v>7.0000000000000007E-2</v>
      </c>
    </row>
    <row r="8" spans="1:20" ht="14.25" customHeight="1" thickBot="1">
      <c r="A8" s="534"/>
      <c r="B8" s="534"/>
      <c r="C8" s="534" t="s">
        <v>692</v>
      </c>
      <c r="D8" s="534"/>
      <c r="E8" s="534"/>
      <c r="F8" s="534"/>
      <c r="I8" s="423"/>
      <c r="J8" s="423"/>
      <c r="K8" s="423"/>
      <c r="L8" s="423"/>
      <c r="M8" s="423"/>
      <c r="N8" s="423"/>
      <c r="R8" s="1742" t="s">
        <v>617</v>
      </c>
      <c r="S8" s="1743"/>
      <c r="T8" s="536">
        <v>60</v>
      </c>
    </row>
    <row r="9" spans="1:20" ht="14.25" customHeight="1">
      <c r="I9" s="435" t="s">
        <v>427</v>
      </c>
      <c r="J9" s="436" t="s">
        <v>428</v>
      </c>
      <c r="K9" s="436" t="s">
        <v>102</v>
      </c>
      <c r="L9" s="436" t="s">
        <v>107</v>
      </c>
      <c r="M9" s="436" t="s">
        <v>109</v>
      </c>
      <c r="N9" s="437" t="s">
        <v>429</v>
      </c>
      <c r="R9" s="1742" t="s">
        <v>618</v>
      </c>
      <c r="S9" s="1743"/>
      <c r="T9" s="536">
        <v>360</v>
      </c>
    </row>
    <row r="10" spans="1:20" ht="14.25" customHeight="1" thickBot="1">
      <c r="I10" s="438">
        <v>1</v>
      </c>
      <c r="J10" s="439">
        <f>J5</f>
        <v>1950000</v>
      </c>
      <c r="K10" s="439">
        <f t="shared" ref="K10:K19" si="0">J10*$J$6</f>
        <v>1294995.0000000002</v>
      </c>
      <c r="L10" s="439">
        <f t="shared" ref="L10:L19" si="1">M10-K10</f>
        <v>110105.84987854562</v>
      </c>
      <c r="M10" s="439">
        <f>J5*J6/(1-(1+J6)^-J7)</f>
        <v>1405100.8498785459</v>
      </c>
      <c r="N10" s="440">
        <f t="shared" ref="N10:N19" si="2">J10-L10</f>
        <v>1839894.1501214544</v>
      </c>
      <c r="R10" s="1694" t="s">
        <v>619</v>
      </c>
      <c r="S10" s="1695"/>
      <c r="T10" s="441">
        <f>(1+T7)^(T9/T8)-1</f>
        <v>0.50073035184900005</v>
      </c>
    </row>
    <row r="11" spans="1:20" ht="14.25" customHeight="1">
      <c r="I11" s="438">
        <v>2</v>
      </c>
      <c r="J11" s="439">
        <f t="shared" ref="J11:J19" si="3">N10</f>
        <v>1839894.1501214544</v>
      </c>
      <c r="K11" s="439">
        <f t="shared" si="0"/>
        <v>1221873.7050956581</v>
      </c>
      <c r="L11" s="439">
        <f t="shared" si="1"/>
        <v>183227.14478288777</v>
      </c>
      <c r="M11" s="439">
        <f t="shared" ref="M11:M19" si="4">+M10</f>
        <v>1405100.8498785459</v>
      </c>
      <c r="N11" s="440">
        <f t="shared" si="2"/>
        <v>1656667.0053385666</v>
      </c>
    </row>
    <row r="12" spans="1:20" ht="14.25" customHeight="1">
      <c r="A12" s="537" t="s">
        <v>386</v>
      </c>
      <c r="B12" s="538"/>
      <c r="C12" s="538"/>
      <c r="D12" s="538"/>
      <c r="E12" s="538"/>
      <c r="F12" s="538"/>
      <c r="I12" s="438">
        <v>3</v>
      </c>
      <c r="J12" s="439">
        <f t="shared" si="3"/>
        <v>1656667.0053385666</v>
      </c>
      <c r="K12" s="439">
        <f t="shared" si="0"/>
        <v>1100192.5582453422</v>
      </c>
      <c r="L12" s="439">
        <f t="shared" si="1"/>
        <v>304908.29163320363</v>
      </c>
      <c r="M12" s="439">
        <f t="shared" si="4"/>
        <v>1405100.8498785459</v>
      </c>
      <c r="N12" s="440">
        <f t="shared" si="2"/>
        <v>1351758.713705363</v>
      </c>
    </row>
    <row r="13" spans="1:20" ht="14.25" customHeight="1">
      <c r="A13" s="538" t="s">
        <v>693</v>
      </c>
      <c r="B13" s="538"/>
      <c r="C13" s="538"/>
      <c r="D13" s="538" t="s">
        <v>694</v>
      </c>
      <c r="E13" s="538"/>
      <c r="F13" s="538"/>
      <c r="I13" s="438">
        <v>4</v>
      </c>
      <c r="J13" s="439">
        <f t="shared" si="3"/>
        <v>1351758.713705363</v>
      </c>
      <c r="K13" s="439">
        <f t="shared" si="0"/>
        <v>897702.96177173173</v>
      </c>
      <c r="L13" s="439">
        <f t="shared" si="1"/>
        <v>507397.88810681412</v>
      </c>
      <c r="M13" s="439">
        <f t="shared" si="4"/>
        <v>1405100.8498785459</v>
      </c>
      <c r="N13" s="440">
        <f t="shared" si="2"/>
        <v>844360.82559854886</v>
      </c>
    </row>
    <row r="14" spans="1:20" ht="14.25" customHeight="1">
      <c r="A14" s="538" t="s">
        <v>695</v>
      </c>
      <c r="B14" s="538"/>
      <c r="C14" s="538"/>
      <c r="D14" s="538" t="s">
        <v>696</v>
      </c>
      <c r="E14" s="538"/>
      <c r="F14" s="538"/>
      <c r="I14" s="438">
        <v>5</v>
      </c>
      <c r="J14" s="439">
        <f t="shared" si="3"/>
        <v>844360.82559854886</v>
      </c>
      <c r="K14" s="439">
        <f t="shared" si="0"/>
        <v>560740.0242799964</v>
      </c>
      <c r="L14" s="439">
        <f t="shared" si="1"/>
        <v>844360.82559854945</v>
      </c>
      <c r="M14" s="439">
        <f t="shared" si="4"/>
        <v>1405100.8498785459</v>
      </c>
      <c r="N14" s="440">
        <f t="shared" si="2"/>
        <v>0</v>
      </c>
    </row>
    <row r="15" spans="1:20" ht="14.25" customHeight="1">
      <c r="A15" s="538" t="s">
        <v>697</v>
      </c>
      <c r="B15" s="538"/>
      <c r="C15" s="538"/>
      <c r="D15" s="538" t="s">
        <v>698</v>
      </c>
      <c r="E15" s="538"/>
      <c r="F15" s="538"/>
      <c r="I15" s="438">
        <v>6</v>
      </c>
      <c r="J15" s="439">
        <f t="shared" si="3"/>
        <v>0</v>
      </c>
      <c r="K15" s="439">
        <f t="shared" si="0"/>
        <v>0</v>
      </c>
      <c r="L15" s="439">
        <f t="shared" si="1"/>
        <v>1405100.8498785459</v>
      </c>
      <c r="M15" s="439">
        <f t="shared" si="4"/>
        <v>1405100.8498785459</v>
      </c>
      <c r="N15" s="440">
        <f t="shared" si="2"/>
        <v>-1405100.8498785459</v>
      </c>
    </row>
    <row r="16" spans="1:20" ht="14.25" customHeight="1">
      <c r="A16" s="538"/>
      <c r="B16" s="538"/>
      <c r="C16" s="538"/>
      <c r="D16" s="538"/>
      <c r="E16" s="538"/>
      <c r="F16" s="538"/>
      <c r="I16" s="438">
        <v>7</v>
      </c>
      <c r="J16" s="439">
        <f t="shared" si="3"/>
        <v>-1405100.8498785459</v>
      </c>
      <c r="K16" s="439">
        <f t="shared" si="0"/>
        <v>-933127.47440434247</v>
      </c>
      <c r="L16" s="439">
        <f t="shared" si="1"/>
        <v>2338228.3242828883</v>
      </c>
      <c r="M16" s="439">
        <f t="shared" si="4"/>
        <v>1405100.8498785459</v>
      </c>
      <c r="N16" s="440">
        <f t="shared" si="2"/>
        <v>-3743329.1741614342</v>
      </c>
    </row>
    <row r="17" spans="1:14" ht="14.25" customHeight="1">
      <c r="A17" s="538"/>
      <c r="B17" s="538"/>
      <c r="C17" s="538"/>
      <c r="D17" s="538"/>
      <c r="E17" s="538"/>
      <c r="F17" s="538"/>
      <c r="I17" s="438">
        <v>8</v>
      </c>
      <c r="J17" s="439">
        <f t="shared" si="3"/>
        <v>-3743329.1741614342</v>
      </c>
      <c r="K17" s="439">
        <f t="shared" si="0"/>
        <v>-2485944.9045606088</v>
      </c>
      <c r="L17" s="439">
        <f t="shared" si="1"/>
        <v>3891045.7544391546</v>
      </c>
      <c r="M17" s="439">
        <f t="shared" si="4"/>
        <v>1405100.8498785459</v>
      </c>
      <c r="N17" s="440">
        <f t="shared" si="2"/>
        <v>-7634374.9286005888</v>
      </c>
    </row>
    <row r="18" spans="1:14" ht="14.25" customHeight="1">
      <c r="A18" s="538"/>
      <c r="B18" s="538"/>
      <c r="C18" s="538"/>
      <c r="D18" s="538"/>
      <c r="E18" s="538"/>
      <c r="F18" s="538"/>
      <c r="I18" s="438">
        <v>9</v>
      </c>
      <c r="J18" s="439">
        <f t="shared" si="3"/>
        <v>-7634374.9286005888</v>
      </c>
      <c r="K18" s="439">
        <f t="shared" si="0"/>
        <v>-5069988.390083652</v>
      </c>
      <c r="L18" s="439">
        <f t="shared" si="1"/>
        <v>6475089.2399621978</v>
      </c>
      <c r="M18" s="439">
        <f t="shared" si="4"/>
        <v>1405100.8498785459</v>
      </c>
      <c r="N18" s="440">
        <f t="shared" si="2"/>
        <v>-14109464.168562787</v>
      </c>
    </row>
    <row r="19" spans="1:14" ht="14.25" customHeight="1">
      <c r="A19" s="538"/>
      <c r="B19" s="538"/>
      <c r="C19" s="538"/>
      <c r="D19" s="538"/>
      <c r="E19" s="538"/>
      <c r="F19" s="538"/>
      <c r="I19" s="438">
        <v>10</v>
      </c>
      <c r="J19" s="439">
        <f t="shared" si="3"/>
        <v>-14109464.168562787</v>
      </c>
      <c r="K19" s="439">
        <f t="shared" si="0"/>
        <v>-9370095.1543425489</v>
      </c>
      <c r="L19" s="439">
        <f t="shared" si="1"/>
        <v>10775196.004221095</v>
      </c>
      <c r="M19" s="439">
        <f t="shared" si="4"/>
        <v>1405100.8498785459</v>
      </c>
      <c r="N19" s="440">
        <f t="shared" si="2"/>
        <v>-24884660.172783881</v>
      </c>
    </row>
    <row r="20" spans="1:14" ht="14.25" customHeight="1" thickBot="1">
      <c r="A20" s="538"/>
      <c r="B20" s="538"/>
      <c r="C20" s="538"/>
      <c r="D20" s="538"/>
      <c r="E20" s="538"/>
      <c r="F20" s="538"/>
      <c r="I20" s="443" t="s">
        <v>621</v>
      </c>
      <c r="J20" s="444"/>
      <c r="K20" s="444">
        <f>SUM(K10:K12)</f>
        <v>3617061.2633410003</v>
      </c>
      <c r="L20" s="444">
        <f>SUM(L10:L12)</f>
        <v>598241.28629463702</v>
      </c>
      <c r="M20" s="444">
        <f>SUM(M10:M13)</f>
        <v>5620403.3995141834</v>
      </c>
      <c r="N20" s="445"/>
    </row>
    <row r="21" spans="1:14" ht="14.25" customHeight="1" thickBot="1">
      <c r="A21" s="538"/>
      <c r="B21" s="538"/>
      <c r="C21" s="538"/>
      <c r="D21" s="538"/>
      <c r="E21" s="538"/>
      <c r="F21" s="538"/>
    </row>
    <row r="22" spans="1:14" ht="14.25" customHeight="1" thickBot="1">
      <c r="I22" s="422" t="s">
        <v>108</v>
      </c>
      <c r="J22" s="423" t="s">
        <v>1013</v>
      </c>
      <c r="K22" s="423"/>
      <c r="L22" s="1696" t="s">
        <v>607</v>
      </c>
      <c r="M22" s="1697"/>
      <c r="N22" s="424">
        <v>0.13</v>
      </c>
    </row>
    <row r="23" spans="1:14" ht="14.25" customHeight="1" thickBot="1">
      <c r="I23" s="423"/>
      <c r="J23" s="423"/>
      <c r="K23" s="423"/>
      <c r="L23" s="1688" t="s">
        <v>608</v>
      </c>
      <c r="M23" s="1689"/>
      <c r="N23" s="425">
        <v>360</v>
      </c>
    </row>
    <row r="24" spans="1:14" ht="14.25" customHeight="1">
      <c r="I24" s="426" t="s">
        <v>609</v>
      </c>
      <c r="J24" s="427">
        <v>3500000</v>
      </c>
      <c r="K24" s="423"/>
      <c r="L24" s="1688" t="s">
        <v>610</v>
      </c>
      <c r="M24" s="1689"/>
      <c r="N24" s="425">
        <v>360</v>
      </c>
    </row>
    <row r="25" spans="1:14" ht="14.25" customHeight="1">
      <c r="I25" s="428" t="s">
        <v>102</v>
      </c>
      <c r="J25" s="429">
        <f>N26</f>
        <v>0.12999999999999989</v>
      </c>
      <c r="K25" s="423"/>
      <c r="L25" s="1688" t="s">
        <v>612</v>
      </c>
      <c r="M25" s="1689"/>
      <c r="N25" s="425">
        <v>360</v>
      </c>
    </row>
    <row r="26" spans="1:14" ht="14.25" customHeight="1" thickBot="1">
      <c r="A26" s="539" t="s">
        <v>699</v>
      </c>
      <c r="I26" s="430" t="s">
        <v>614</v>
      </c>
      <c r="J26" s="431">
        <v>10</v>
      </c>
      <c r="K26" s="423"/>
      <c r="L26" s="1690" t="s">
        <v>616</v>
      </c>
      <c r="M26" s="1691"/>
      <c r="N26" s="432">
        <f>((1+N22*N23/N25)^(N24/N23))-1</f>
        <v>0.12999999999999989</v>
      </c>
    </row>
    <row r="27" spans="1:14" ht="14.25" customHeight="1" thickBot="1">
      <c r="A27" s="540"/>
      <c r="I27" s="423"/>
      <c r="J27" s="423"/>
      <c r="K27" s="423"/>
      <c r="L27" s="423"/>
      <c r="M27" s="423"/>
      <c r="N27" s="423"/>
    </row>
    <row r="28" spans="1:14" ht="14.25" customHeight="1">
      <c r="I28" s="435" t="s">
        <v>427</v>
      </c>
      <c r="J28" s="436" t="s">
        <v>428</v>
      </c>
      <c r="K28" s="436" t="s">
        <v>102</v>
      </c>
      <c r="L28" s="436" t="s">
        <v>107</v>
      </c>
      <c r="M28" s="436" t="s">
        <v>109</v>
      </c>
      <c r="N28" s="437" t="s">
        <v>429</v>
      </c>
    </row>
    <row r="29" spans="1:14" ht="14.25" customHeight="1">
      <c r="A29" s="452" t="s">
        <v>0</v>
      </c>
      <c r="B29" s="541">
        <v>0.12</v>
      </c>
      <c r="I29" s="438">
        <v>1</v>
      </c>
      <c r="J29" s="439">
        <f>J24</f>
        <v>3500000</v>
      </c>
      <c r="K29" s="439">
        <f t="shared" ref="K29:K38" si="5">J29*$J$25</f>
        <v>454999.99999999965</v>
      </c>
      <c r="L29" s="439">
        <f>J29/$J$26</f>
        <v>350000</v>
      </c>
      <c r="M29" s="439">
        <f t="shared" ref="M29:M38" si="6">K29+L29</f>
        <v>804999.99999999965</v>
      </c>
      <c r="N29" s="440">
        <f t="shared" ref="N29:N38" si="7">J29-L29</f>
        <v>3150000</v>
      </c>
    </row>
    <row r="30" spans="1:14" ht="14.25" customHeight="1">
      <c r="A30" s="452" t="s">
        <v>700</v>
      </c>
      <c r="B30" s="542">
        <v>360</v>
      </c>
      <c r="I30" s="438">
        <v>2</v>
      </c>
      <c r="J30" s="439">
        <f t="shared" ref="J30:J38" si="8">N29</f>
        <v>3150000</v>
      </c>
      <c r="K30" s="439">
        <f t="shared" si="5"/>
        <v>409499.99999999965</v>
      </c>
      <c r="L30" s="439">
        <f t="shared" ref="L30:L38" si="9">L29</f>
        <v>350000</v>
      </c>
      <c r="M30" s="439">
        <f t="shared" si="6"/>
        <v>759499.99999999965</v>
      </c>
      <c r="N30" s="440">
        <f t="shared" si="7"/>
        <v>2800000</v>
      </c>
    </row>
    <row r="31" spans="1:14" ht="14.25" customHeight="1">
      <c r="A31" s="543" t="s">
        <v>701</v>
      </c>
      <c r="B31" s="542">
        <v>60</v>
      </c>
      <c r="C31" s="384" t="s">
        <v>702</v>
      </c>
      <c r="I31" s="438">
        <v>3</v>
      </c>
      <c r="J31" s="439">
        <f t="shared" si="8"/>
        <v>2800000</v>
      </c>
      <c r="K31" s="439">
        <f t="shared" si="5"/>
        <v>363999.99999999971</v>
      </c>
      <c r="L31" s="439">
        <f t="shared" si="9"/>
        <v>350000</v>
      </c>
      <c r="M31" s="439">
        <f t="shared" si="6"/>
        <v>713999.99999999977</v>
      </c>
      <c r="N31" s="440">
        <f t="shared" si="7"/>
        <v>2450000</v>
      </c>
    </row>
    <row r="32" spans="1:14" ht="14.25" customHeight="1">
      <c r="A32" s="543"/>
      <c r="B32" s="543"/>
      <c r="I32" s="438">
        <v>4</v>
      </c>
      <c r="J32" s="439">
        <f t="shared" si="8"/>
        <v>2450000</v>
      </c>
      <c r="K32" s="439">
        <f t="shared" si="5"/>
        <v>318499.99999999977</v>
      </c>
      <c r="L32" s="439">
        <f t="shared" si="9"/>
        <v>350000</v>
      </c>
      <c r="M32" s="439">
        <f t="shared" si="6"/>
        <v>668499.99999999977</v>
      </c>
      <c r="N32" s="440">
        <f t="shared" si="7"/>
        <v>2100000</v>
      </c>
    </row>
    <row r="33" spans="1:15" ht="14.25" customHeight="1">
      <c r="A33" s="452" t="s">
        <v>703</v>
      </c>
      <c r="B33" s="544">
        <f>(1+B29*B31/B30)^(B34/B31)-1</f>
        <v>0.12616241926400007</v>
      </c>
      <c r="I33" s="438">
        <v>5</v>
      </c>
      <c r="J33" s="439">
        <f t="shared" si="8"/>
        <v>2100000</v>
      </c>
      <c r="K33" s="439">
        <f t="shared" si="5"/>
        <v>272999.99999999977</v>
      </c>
      <c r="L33" s="439">
        <f t="shared" si="9"/>
        <v>350000</v>
      </c>
      <c r="M33" s="439">
        <f t="shared" si="6"/>
        <v>622999.99999999977</v>
      </c>
      <c r="N33" s="440">
        <f t="shared" si="7"/>
        <v>1750000</v>
      </c>
    </row>
    <row r="34" spans="1:15" ht="14.25" customHeight="1">
      <c r="A34" s="452" t="s">
        <v>700</v>
      </c>
      <c r="B34" s="542">
        <v>360</v>
      </c>
      <c r="I34" s="438">
        <v>6</v>
      </c>
      <c r="J34" s="439">
        <f t="shared" si="8"/>
        <v>1750000</v>
      </c>
      <c r="K34" s="439">
        <f t="shared" si="5"/>
        <v>227499.99999999983</v>
      </c>
      <c r="L34" s="439">
        <f t="shared" si="9"/>
        <v>350000</v>
      </c>
      <c r="M34" s="439">
        <f t="shared" si="6"/>
        <v>577499.99999999977</v>
      </c>
      <c r="N34" s="440">
        <f t="shared" si="7"/>
        <v>1400000</v>
      </c>
    </row>
    <row r="35" spans="1:15" ht="14.25" customHeight="1">
      <c r="I35" s="438">
        <v>7</v>
      </c>
      <c r="J35" s="439">
        <f t="shared" si="8"/>
        <v>1400000</v>
      </c>
      <c r="K35" s="439">
        <f t="shared" si="5"/>
        <v>181999.99999999985</v>
      </c>
      <c r="L35" s="439">
        <f t="shared" si="9"/>
        <v>350000</v>
      </c>
      <c r="M35" s="439">
        <f t="shared" si="6"/>
        <v>531999.99999999988</v>
      </c>
      <c r="N35" s="440">
        <f t="shared" si="7"/>
        <v>1050000</v>
      </c>
    </row>
    <row r="36" spans="1:15" ht="14.25" customHeight="1">
      <c r="I36" s="438">
        <v>8</v>
      </c>
      <c r="J36" s="439">
        <f t="shared" si="8"/>
        <v>1050000</v>
      </c>
      <c r="K36" s="439">
        <f t="shared" si="5"/>
        <v>136499.99999999988</v>
      </c>
      <c r="L36" s="439">
        <f t="shared" si="9"/>
        <v>350000</v>
      </c>
      <c r="M36" s="439">
        <f t="shared" si="6"/>
        <v>486499.99999999988</v>
      </c>
      <c r="N36" s="440">
        <f t="shared" si="7"/>
        <v>700000</v>
      </c>
    </row>
    <row r="37" spans="1:15" ht="14.25" customHeight="1">
      <c r="I37" s="438">
        <v>9</v>
      </c>
      <c r="J37" s="439">
        <f t="shared" si="8"/>
        <v>700000</v>
      </c>
      <c r="K37" s="439">
        <f t="shared" si="5"/>
        <v>90999.999999999927</v>
      </c>
      <c r="L37" s="439">
        <f t="shared" si="9"/>
        <v>350000</v>
      </c>
      <c r="M37" s="439">
        <f t="shared" si="6"/>
        <v>440999.99999999994</v>
      </c>
      <c r="N37" s="440">
        <f t="shared" si="7"/>
        <v>350000</v>
      </c>
    </row>
    <row r="38" spans="1:15" ht="14.25" customHeight="1">
      <c r="I38" s="438">
        <v>10</v>
      </c>
      <c r="J38" s="439">
        <f t="shared" si="8"/>
        <v>350000</v>
      </c>
      <c r="K38" s="439">
        <f t="shared" si="5"/>
        <v>45499.999999999964</v>
      </c>
      <c r="L38" s="439">
        <f t="shared" si="9"/>
        <v>350000</v>
      </c>
      <c r="M38" s="439">
        <f t="shared" si="6"/>
        <v>395499.99999999994</v>
      </c>
      <c r="N38" s="440">
        <f t="shared" si="7"/>
        <v>0</v>
      </c>
    </row>
    <row r="39" spans="1:15" ht="14.25" customHeight="1" thickBot="1">
      <c r="I39" s="882" t="s">
        <v>621</v>
      </c>
      <c r="J39" s="444"/>
      <c r="K39" s="444">
        <f>SUM(K29:K32)</f>
        <v>1546999.9999999988</v>
      </c>
      <c r="L39" s="444">
        <f>SUM(L29:L32)</f>
        <v>1400000</v>
      </c>
      <c r="M39" s="444">
        <f>SUM(M29:M32)</f>
        <v>2946999.9999999991</v>
      </c>
      <c r="N39" s="445"/>
    </row>
    <row r="40" spans="1:15" ht="14.25" customHeight="1" thickBot="1"/>
    <row r="41" spans="1:15" ht="14.25" customHeight="1" thickBot="1">
      <c r="I41" s="422" t="s">
        <v>36</v>
      </c>
      <c r="J41" s="423" t="s">
        <v>1012</v>
      </c>
      <c r="K41" s="423"/>
      <c r="L41" s="1696" t="s">
        <v>607</v>
      </c>
      <c r="M41" s="1697"/>
      <c r="N41" s="424">
        <v>0.57999999999999996</v>
      </c>
    </row>
    <row r="42" spans="1:15" ht="14.25" customHeight="1" thickBot="1">
      <c r="I42" s="423"/>
      <c r="J42" s="423"/>
      <c r="K42" s="423"/>
      <c r="L42" s="1688" t="s">
        <v>608</v>
      </c>
      <c r="M42" s="1689"/>
      <c r="N42" s="425">
        <v>180</v>
      </c>
    </row>
    <row r="43" spans="1:15" ht="14.25" customHeight="1">
      <c r="A43" s="423"/>
      <c r="B43" s="545"/>
      <c r="I43" s="426" t="s">
        <v>609</v>
      </c>
      <c r="J43" s="427">
        <v>1950000</v>
      </c>
      <c r="K43" s="423"/>
      <c r="L43" s="1688" t="s">
        <v>610</v>
      </c>
      <c r="M43" s="1689"/>
      <c r="N43" s="425">
        <v>360</v>
      </c>
    </row>
    <row r="44" spans="1:15" ht="14.25" customHeight="1">
      <c r="A44" s="423"/>
      <c r="B44" s="423"/>
      <c r="I44" s="428" t="s">
        <v>102</v>
      </c>
      <c r="J44" s="429">
        <f>N45</f>
        <v>0.66410000000000013</v>
      </c>
      <c r="K44" s="423"/>
      <c r="L44" s="1688" t="s">
        <v>612</v>
      </c>
      <c r="M44" s="1689"/>
      <c r="N44" s="425">
        <v>360</v>
      </c>
    </row>
    <row r="45" spans="1:15" ht="14.25" customHeight="1" thickBot="1">
      <c r="A45" s="423"/>
      <c r="B45" s="546"/>
      <c r="I45" s="430" t="s">
        <v>614</v>
      </c>
      <c r="J45" s="431">
        <v>5</v>
      </c>
      <c r="K45" s="423"/>
      <c r="L45" s="1690" t="s">
        <v>616</v>
      </c>
      <c r="M45" s="1691"/>
      <c r="N45" s="432">
        <f>((1+N41*N42/N44)^(N43/N42))-1</f>
        <v>0.66410000000000013</v>
      </c>
    </row>
    <row r="46" spans="1:15" ht="14.25" customHeight="1" thickBot="1">
      <c r="A46" s="423"/>
      <c r="B46" s="423"/>
      <c r="I46" s="423"/>
      <c r="J46" s="423"/>
      <c r="K46" s="423"/>
      <c r="L46" s="423"/>
      <c r="M46" s="423"/>
      <c r="N46" s="423"/>
    </row>
    <row r="47" spans="1:15" ht="14.25" customHeight="1">
      <c r="I47" s="881" t="s">
        <v>427</v>
      </c>
      <c r="J47" s="880" t="s">
        <v>428</v>
      </c>
      <c r="K47" s="880" t="s">
        <v>102</v>
      </c>
      <c r="L47" s="880" t="s">
        <v>107</v>
      </c>
      <c r="M47" s="880" t="s">
        <v>1016</v>
      </c>
      <c r="N47" s="879" t="s">
        <v>429</v>
      </c>
      <c r="O47" s="384" t="s">
        <v>1097</v>
      </c>
    </row>
    <row r="48" spans="1:15" ht="14.25" customHeight="1">
      <c r="I48" s="878">
        <v>1</v>
      </c>
      <c r="J48" s="874">
        <f>J43</f>
        <v>1950000</v>
      </c>
      <c r="K48" s="874">
        <f>J48*$J$44</f>
        <v>1294995.0000000002</v>
      </c>
      <c r="L48" s="874">
        <v>0</v>
      </c>
      <c r="M48" s="874">
        <f>$J$48*$J$44</f>
        <v>1294995.0000000002</v>
      </c>
      <c r="N48" s="877">
        <f>J48-L48</f>
        <v>1950000</v>
      </c>
    </row>
    <row r="49" spans="9:15" ht="14.25" customHeight="1">
      <c r="I49" s="878">
        <v>2</v>
      </c>
      <c r="J49" s="874">
        <f>N48</f>
        <v>1950000</v>
      </c>
      <c r="K49" s="874">
        <f>K48</f>
        <v>1294995.0000000002</v>
      </c>
      <c r="L49" s="874">
        <f>L48</f>
        <v>0</v>
      </c>
      <c r="M49" s="874">
        <f>$J$48*$J$44</f>
        <v>1294995.0000000002</v>
      </c>
      <c r="N49" s="877">
        <f>J49-L49</f>
        <v>1950000</v>
      </c>
    </row>
    <row r="50" spans="9:15" ht="14.25" customHeight="1" thickBot="1">
      <c r="I50" s="876">
        <v>3</v>
      </c>
      <c r="J50" s="875">
        <f>N49</f>
        <v>1950000</v>
      </c>
      <c r="K50" s="875">
        <f>K49</f>
        <v>1294995.0000000002</v>
      </c>
      <c r="L50" s="875">
        <v>0</v>
      </c>
      <c r="M50" s="874">
        <f>$J$48*$J$44</f>
        <v>1294995.0000000002</v>
      </c>
      <c r="N50" s="873">
        <f>J50-L50</f>
        <v>1950000</v>
      </c>
    </row>
    <row r="51" spans="9:15" ht="14.25" customHeight="1" thickBot="1">
      <c r="I51" s="876">
        <v>4</v>
      </c>
      <c r="J51" s="875">
        <f>N50</f>
        <v>1950000</v>
      </c>
      <c r="K51" s="875">
        <f>K50</f>
        <v>1294995.0000000002</v>
      </c>
      <c r="L51" s="875">
        <v>0</v>
      </c>
      <c r="M51" s="874">
        <f>$J$48*$J$44</f>
        <v>1294995.0000000002</v>
      </c>
      <c r="N51" s="873">
        <f>J51-L51</f>
        <v>1950000</v>
      </c>
    </row>
    <row r="52" spans="9:15" ht="14.25" customHeight="1" thickBot="1">
      <c r="I52" s="876">
        <v>5</v>
      </c>
      <c r="J52" s="875">
        <f>N51</f>
        <v>1950000</v>
      </c>
      <c r="K52" s="875">
        <f>K51</f>
        <v>1294995.0000000002</v>
      </c>
      <c r="L52" s="875">
        <f>J43</f>
        <v>1950000</v>
      </c>
      <c r="M52" s="874">
        <f>$J$48*$J$44+L52</f>
        <v>3244995</v>
      </c>
      <c r="N52" s="873">
        <f>J52-L52</f>
        <v>0</v>
      </c>
      <c r="O52" s="384" t="s">
        <v>1011</v>
      </c>
    </row>
    <row r="53" spans="9:15" ht="14.25" customHeight="1"/>
    <row r="54" spans="9:15" ht="14.25" customHeight="1"/>
    <row r="55" spans="9:15" ht="14.25" customHeight="1">
      <c r="K55" s="883" t="s">
        <v>1014</v>
      </c>
    </row>
    <row r="56" spans="9:15" ht="14.25" customHeight="1">
      <c r="I56" s="872"/>
      <c r="J56" s="872"/>
      <c r="K56" s="883" t="s">
        <v>1015</v>
      </c>
      <c r="L56" s="872"/>
      <c r="M56" s="872"/>
      <c r="N56" s="872"/>
    </row>
    <row r="57" spans="9:15" ht="14.25" customHeight="1">
      <c r="I57" s="872"/>
      <c r="J57" s="872"/>
      <c r="K57" s="872"/>
      <c r="L57" s="872"/>
      <c r="M57" s="872"/>
      <c r="N57" s="872"/>
    </row>
    <row r="58" spans="9:15" ht="14.25" customHeight="1">
      <c r="I58" s="872"/>
      <c r="J58" s="872"/>
      <c r="K58" s="872"/>
      <c r="L58" s="872"/>
      <c r="M58" s="872"/>
      <c r="N58" s="872"/>
    </row>
    <row r="59" spans="9:15" ht="14.25" customHeight="1">
      <c r="I59" s="872"/>
      <c r="J59" s="872"/>
      <c r="K59" s="872"/>
      <c r="L59" s="872"/>
      <c r="M59" s="872"/>
      <c r="N59" s="872"/>
    </row>
    <row r="60" spans="9:15" ht="14.25" customHeight="1">
      <c r="I60" s="872"/>
      <c r="J60" s="872"/>
      <c r="K60" s="872"/>
      <c r="L60" s="872"/>
      <c r="M60" s="872"/>
      <c r="N60" s="872"/>
    </row>
    <row r="61" spans="9:15" ht="14.25" customHeight="1">
      <c r="I61" s="872"/>
      <c r="J61" s="872"/>
      <c r="K61" s="872"/>
      <c r="L61" s="872"/>
      <c r="M61" s="872"/>
      <c r="N61" s="872"/>
    </row>
    <row r="62" spans="9:15" ht="14.25" customHeight="1"/>
    <row r="63" spans="9:15" ht="14.25" customHeight="1"/>
    <row r="64" spans="9:15" ht="14.25" customHeight="1"/>
    <row r="65" s="384" customFormat="1" ht="14.25" customHeight="1"/>
    <row r="66" s="384" customFormat="1" ht="14.25" customHeight="1"/>
    <row r="67" s="384" customFormat="1" ht="14.25" customHeight="1"/>
    <row r="68" s="384" customFormat="1" ht="14.25" customHeight="1"/>
    <row r="69" s="384" customFormat="1" ht="14.25" customHeight="1"/>
    <row r="70" s="384" customFormat="1" ht="14.25" customHeight="1"/>
    <row r="71" s="384" customFormat="1" ht="14.25" customHeight="1"/>
    <row r="72" s="384" customFormat="1" ht="14.25" customHeight="1"/>
    <row r="73" s="384" customFormat="1" ht="14.25" customHeight="1"/>
    <row r="74" s="384" customFormat="1" ht="14.25" customHeight="1"/>
    <row r="75" s="384" customFormat="1" ht="14.25" customHeight="1"/>
    <row r="76" s="384" customFormat="1" ht="14.25" customHeight="1"/>
    <row r="77" s="384" customFormat="1" ht="14.25" customHeight="1"/>
    <row r="78" s="384" customFormat="1" ht="14.25" customHeight="1"/>
    <row r="79" s="384" customFormat="1" ht="14.25" customHeight="1"/>
    <row r="80" s="384" customFormat="1" ht="14.25" customHeight="1"/>
    <row r="81" s="384" customFormat="1" ht="14.25" customHeight="1"/>
    <row r="82" s="384" customFormat="1" ht="14.25" customHeight="1"/>
    <row r="83" s="384" customFormat="1" ht="14.25" customHeight="1"/>
    <row r="84" s="384" customFormat="1" ht="14.25" customHeight="1"/>
    <row r="85" s="384" customFormat="1" ht="14.25" customHeight="1"/>
    <row r="86" s="384" customFormat="1" ht="14.25" customHeight="1"/>
    <row r="87" s="384" customFormat="1" ht="14.25" customHeight="1"/>
    <row r="88" s="384" customFormat="1" ht="14.25" customHeight="1"/>
    <row r="89" s="384" customFormat="1" ht="14.25" customHeight="1"/>
    <row r="90" s="384" customFormat="1" ht="14.25" customHeight="1"/>
    <row r="91" s="384" customFormat="1" ht="14.25" customHeight="1"/>
    <row r="92" s="384" customFormat="1" ht="14.25" customHeight="1"/>
    <row r="93" s="384" customFormat="1" ht="14.25" customHeight="1"/>
    <row r="94" s="384" customFormat="1" ht="14.25" customHeight="1"/>
    <row r="95" s="384" customFormat="1" ht="14.25" customHeight="1"/>
    <row r="96" s="384" customFormat="1" ht="14.25" customHeight="1"/>
    <row r="97" s="384" customFormat="1" ht="14.25" customHeight="1"/>
    <row r="98" s="384" customFormat="1" ht="14.25" customHeight="1"/>
    <row r="99" s="384" customFormat="1" ht="14.25" customHeight="1"/>
    <row r="100" s="384" customFormat="1" ht="14.25" customHeight="1"/>
    <row r="101" s="384" customFormat="1" ht="14.25" customHeight="1"/>
    <row r="102" s="384" customFormat="1" ht="14.25" customHeight="1"/>
    <row r="103" s="384" customFormat="1" ht="14.25" customHeight="1"/>
    <row r="104" s="384" customFormat="1" ht="14.25" customHeight="1"/>
    <row r="105" s="384" customFormat="1" ht="14.25" customHeight="1"/>
    <row r="106" s="384" customFormat="1" ht="14.25" customHeight="1"/>
    <row r="107" s="384" customFormat="1" ht="14.25" customHeight="1"/>
    <row r="108" s="384" customFormat="1" ht="14.25" customHeight="1"/>
    <row r="109" s="384" customFormat="1" ht="14.25" customHeight="1"/>
    <row r="110" s="384" customFormat="1" ht="14.25" customHeight="1"/>
    <row r="111" s="384" customFormat="1" ht="14.25" customHeight="1"/>
    <row r="112" s="384" customFormat="1" ht="14.25" customHeight="1"/>
    <row r="113" s="384" customFormat="1" ht="14.25" customHeight="1"/>
    <row r="114" s="384" customFormat="1" ht="14.25" customHeight="1"/>
    <row r="115" s="384" customFormat="1" ht="14.25" customHeight="1"/>
    <row r="116" s="384" customFormat="1" ht="14.25" customHeight="1"/>
    <row r="117" s="384" customFormat="1" ht="14.25" customHeight="1"/>
    <row r="118" s="384" customFormat="1" ht="14.25" customHeight="1"/>
    <row r="119" s="384" customFormat="1" ht="14.25" customHeight="1"/>
    <row r="120" s="384" customFormat="1" ht="14.25" customHeight="1"/>
    <row r="121" s="384" customFormat="1" ht="14.25" customHeight="1"/>
    <row r="122" s="384" customFormat="1" ht="14.25" customHeight="1"/>
    <row r="123" s="384" customFormat="1" ht="14.25" customHeight="1"/>
    <row r="124" s="384" customFormat="1" ht="14.25" customHeight="1"/>
    <row r="125" s="384" customFormat="1" ht="14.25" customHeight="1"/>
    <row r="126" s="384" customFormat="1" ht="14.25" customHeight="1"/>
    <row r="127" s="384" customFormat="1" ht="14.25" customHeight="1"/>
    <row r="128" s="384" customFormat="1" ht="14.25" customHeight="1"/>
    <row r="129" s="384" customFormat="1" ht="14.25" customHeight="1"/>
    <row r="130" s="384" customFormat="1" ht="14.25" customHeight="1"/>
    <row r="131" s="384" customFormat="1" ht="14.25" customHeight="1"/>
    <row r="132" s="384" customFormat="1" ht="14.25" customHeight="1"/>
    <row r="133" s="384" customFormat="1" ht="14.25" customHeight="1"/>
    <row r="134" s="384" customFormat="1" ht="14.25" customHeight="1"/>
    <row r="135" s="384" customFormat="1" ht="14.25" customHeight="1"/>
    <row r="136" s="384" customFormat="1" ht="14.25" customHeight="1"/>
    <row r="137" s="384" customFormat="1" ht="14.25" customHeight="1"/>
    <row r="138" s="384" customFormat="1" ht="14.25" customHeight="1"/>
    <row r="139" s="384" customFormat="1" ht="14.25" customHeight="1"/>
    <row r="140" s="384" customFormat="1" ht="14.25" customHeight="1"/>
    <row r="141" s="384" customFormat="1" ht="14.25" customHeight="1"/>
    <row r="142" s="384" customFormat="1" ht="14.25" customHeight="1"/>
    <row r="143" s="384" customFormat="1" ht="14.25" customHeight="1"/>
    <row r="144" s="384" customFormat="1" ht="14.25" customHeight="1"/>
    <row r="145" s="384" customFormat="1" ht="14.25" customHeight="1"/>
    <row r="146" s="384" customFormat="1" ht="14.25" customHeight="1"/>
    <row r="147" s="384" customFormat="1" ht="14.25" customHeight="1"/>
    <row r="148" s="384" customFormat="1" ht="14.25" customHeight="1"/>
    <row r="149" s="384" customFormat="1" ht="14.25" customHeight="1"/>
    <row r="150" s="384" customFormat="1" ht="14.25" customHeight="1"/>
    <row r="151" s="384" customFormat="1" ht="14.25" customHeight="1"/>
    <row r="152" s="384" customFormat="1" ht="14.25" customHeight="1"/>
    <row r="153" s="384" customFormat="1" ht="14.25" customHeight="1"/>
    <row r="154" s="384" customFormat="1" ht="14.25" customHeight="1"/>
    <row r="155" s="384" customFormat="1" ht="14.25" customHeight="1"/>
    <row r="156" s="384" customFormat="1" ht="14.25" customHeight="1"/>
    <row r="157" s="384" customFormat="1" ht="14.25" customHeight="1"/>
    <row r="158" s="384" customFormat="1" ht="14.25" customHeight="1"/>
    <row r="159" s="384" customFormat="1" ht="14.25" customHeight="1"/>
    <row r="160" s="384" customFormat="1" ht="14.25" customHeight="1"/>
    <row r="161" s="384" customFormat="1" ht="14.25" customHeight="1"/>
    <row r="162" s="384" customFormat="1" ht="14.25" customHeight="1"/>
    <row r="163" s="384" customFormat="1" ht="14.25" customHeight="1"/>
    <row r="164" s="384" customFormat="1" ht="14.25" customHeight="1"/>
    <row r="165" s="384" customFormat="1" ht="14.25" customHeight="1"/>
    <row r="166" s="384" customFormat="1" ht="14.25" customHeight="1"/>
    <row r="167" s="384" customFormat="1" ht="14.25" customHeight="1"/>
    <row r="168" s="384" customFormat="1" ht="14.25" customHeight="1"/>
    <row r="169" s="384" customFormat="1" ht="14.25" customHeight="1"/>
    <row r="170" s="384" customFormat="1" ht="14.25" customHeight="1"/>
    <row r="171" s="384" customFormat="1" ht="14.25" customHeight="1"/>
    <row r="172" s="384" customFormat="1" ht="14.25" customHeight="1"/>
    <row r="173" s="384" customFormat="1" ht="14.25" customHeight="1"/>
    <row r="174" s="384" customFormat="1" ht="14.25" customHeight="1"/>
    <row r="175" s="384" customFormat="1" ht="14.25" customHeight="1"/>
    <row r="176" s="384" customFormat="1" ht="14.25" customHeight="1"/>
    <row r="177" s="384" customFormat="1" ht="14.25" customHeight="1"/>
    <row r="178" s="384" customFormat="1" ht="14.25" customHeight="1"/>
    <row r="179" s="384" customFormat="1" ht="14.25" customHeight="1"/>
    <row r="180" s="384" customFormat="1" ht="14.25" customHeight="1"/>
    <row r="181" s="384" customFormat="1" ht="14.25" customHeight="1"/>
    <row r="182" s="384" customFormat="1" ht="14.25" customHeight="1"/>
    <row r="183" s="384" customFormat="1" ht="14.25" customHeight="1"/>
    <row r="184" s="384" customFormat="1" ht="14.25" customHeight="1"/>
    <row r="185" s="384" customFormat="1" ht="14.25" customHeight="1"/>
    <row r="186" s="384" customFormat="1" ht="14.25" customHeight="1"/>
    <row r="187" s="384" customFormat="1" ht="14.25" customHeight="1"/>
    <row r="188" s="384" customFormat="1" ht="14.25" customHeight="1"/>
    <row r="189" s="384" customFormat="1" ht="14.25" customHeight="1"/>
    <row r="190" s="384" customFormat="1" ht="14.25" customHeight="1"/>
    <row r="191" s="384" customFormat="1" ht="14.25" customHeight="1"/>
    <row r="192" s="384" customFormat="1" ht="14.25" customHeight="1"/>
    <row r="193" s="384" customFormat="1" ht="14.25" customHeight="1"/>
    <row r="194" s="384" customFormat="1" ht="14.25" customHeight="1"/>
    <row r="195" s="384" customFormat="1" ht="14.25" customHeight="1"/>
    <row r="196" s="384" customFormat="1" ht="14.25" customHeight="1"/>
    <row r="197" s="384" customFormat="1" ht="14.25" customHeight="1"/>
    <row r="198" s="384" customFormat="1" ht="14.25" customHeight="1"/>
    <row r="199" s="384" customFormat="1" ht="14.25" customHeight="1"/>
    <row r="200" s="384" customFormat="1" ht="14.25" customHeight="1"/>
    <row r="201" s="384" customFormat="1" ht="14.25" customHeight="1"/>
    <row r="202" s="384" customFormat="1" ht="14.25" customHeight="1"/>
    <row r="203" s="384" customFormat="1" ht="14.25" customHeight="1"/>
    <row r="204" s="384" customFormat="1" ht="14.25" customHeight="1"/>
    <row r="205" s="384" customFormat="1" ht="14.25" customHeight="1"/>
    <row r="206" s="384" customFormat="1" ht="14.25" customHeight="1"/>
    <row r="207" s="384" customFormat="1" ht="14.25" customHeight="1"/>
    <row r="208" s="384" customFormat="1" ht="14.25" customHeight="1"/>
    <row r="209" s="384" customFormat="1" ht="14.25" customHeight="1"/>
    <row r="210" s="384" customFormat="1" ht="14.25" customHeight="1"/>
    <row r="211" s="384" customFormat="1" ht="14.25" customHeight="1"/>
    <row r="212" s="384" customFormat="1" ht="14.25" customHeight="1"/>
    <row r="213" s="384" customFormat="1" ht="14.25" customHeight="1"/>
    <row r="214" s="384" customFormat="1" ht="14.25" customHeight="1"/>
    <row r="215" s="384" customFormat="1" ht="14.25" customHeight="1"/>
    <row r="216" s="384" customFormat="1" ht="14.25" customHeight="1"/>
    <row r="217" s="384" customFormat="1" ht="14.25" customHeight="1"/>
    <row r="218" s="384" customFormat="1" ht="14.25" customHeight="1"/>
    <row r="219" s="384" customFormat="1" ht="14.25" customHeight="1"/>
    <row r="220" s="384" customFormat="1" ht="14.25" customHeight="1"/>
    <row r="221" s="384" customFormat="1" ht="14.25" customHeight="1"/>
    <row r="222" s="384" customFormat="1" ht="14.25" customHeight="1"/>
    <row r="223" s="384" customFormat="1" ht="14.25" customHeight="1"/>
    <row r="224" s="384" customFormat="1" ht="14.25" customHeight="1"/>
    <row r="225" s="384" customFormat="1" ht="14.25" customHeight="1"/>
    <row r="226" s="384" customFormat="1" ht="14.25" customHeight="1"/>
    <row r="227" s="384" customFormat="1" ht="14.25" customHeight="1"/>
    <row r="228" s="384" customFormat="1" ht="14.25" customHeight="1"/>
    <row r="229" s="384" customFormat="1" ht="14.25" customHeight="1"/>
    <row r="230" s="384" customFormat="1" ht="14.25" customHeight="1"/>
    <row r="231" s="384" customFormat="1" ht="14.25" customHeight="1"/>
    <row r="232" s="384" customFormat="1" ht="14.25" customHeight="1"/>
    <row r="233" s="384" customFormat="1" ht="14.25" customHeight="1"/>
    <row r="234" s="384" customFormat="1" ht="14.25" customHeight="1"/>
    <row r="235" s="384" customFormat="1" ht="14.25" customHeight="1"/>
    <row r="236" s="384" customFormat="1" ht="14.25" customHeight="1"/>
    <row r="237" s="384" customFormat="1" ht="14.25" customHeight="1"/>
    <row r="238" s="384" customFormat="1" ht="14.25" customHeight="1"/>
    <row r="239" s="384" customFormat="1" ht="14.25" customHeight="1"/>
    <row r="240" s="384" customFormat="1" ht="14.25" customHeight="1"/>
    <row r="241" s="384" customFormat="1" ht="14.25" customHeight="1"/>
    <row r="242" s="384" customFormat="1" ht="14.25" customHeight="1"/>
    <row r="243" s="384" customFormat="1" ht="14.25" customHeight="1"/>
    <row r="244" s="384" customFormat="1" ht="14.25" customHeight="1"/>
    <row r="245" s="384" customFormat="1" ht="14.25" customHeight="1"/>
    <row r="246" s="384" customFormat="1" ht="14.25" customHeight="1"/>
    <row r="247" s="384" customFormat="1" ht="14.25" customHeight="1"/>
    <row r="248" s="384" customFormat="1" ht="14.25" customHeight="1"/>
    <row r="249" s="384" customFormat="1" ht="14.25" customHeight="1"/>
    <row r="250" s="384" customFormat="1" ht="14.25" customHeight="1"/>
    <row r="251" s="384" customFormat="1" ht="14.25" customHeight="1"/>
    <row r="252" s="384" customFormat="1" ht="14.25" customHeight="1"/>
    <row r="253" s="384" customFormat="1" ht="14.25" customHeight="1"/>
    <row r="254" s="384" customFormat="1" ht="14.25" customHeight="1"/>
    <row r="255" s="384" customFormat="1" ht="14.25" customHeight="1"/>
    <row r="256" s="384" customFormat="1" ht="14.25" customHeight="1"/>
    <row r="257" s="384" customFormat="1" ht="14.25" customHeight="1"/>
    <row r="258" s="384" customFormat="1" ht="14.25" customHeight="1"/>
    <row r="259" s="384" customFormat="1" ht="14.25" customHeight="1"/>
    <row r="260" s="384" customFormat="1" ht="14.25" customHeight="1"/>
    <row r="261" s="384" customFormat="1" ht="14.25" customHeight="1"/>
    <row r="262" s="384" customFormat="1" ht="14.25" customHeight="1"/>
    <row r="263" s="384" customFormat="1" ht="14.25" customHeight="1"/>
    <row r="264" s="384" customFormat="1" ht="14.25" customHeight="1"/>
    <row r="265" s="384" customFormat="1" ht="14.25" customHeight="1"/>
    <row r="266" s="384" customFormat="1" ht="14.25" customHeight="1"/>
    <row r="267" s="384" customFormat="1" ht="14.25" customHeight="1"/>
    <row r="268" s="384" customFormat="1" ht="14.25" customHeight="1"/>
    <row r="269" s="384" customFormat="1" ht="14.25" customHeight="1"/>
    <row r="270" s="384" customFormat="1" ht="14.25" customHeight="1"/>
    <row r="271" s="384" customFormat="1" ht="14.25" customHeight="1"/>
    <row r="272" s="384" customFormat="1" ht="14.25" customHeight="1"/>
    <row r="273" s="384" customFormat="1" ht="14.25" customHeight="1"/>
    <row r="274" s="384" customFormat="1" ht="14.25" customHeight="1"/>
    <row r="275" s="384" customFormat="1" ht="14.25" customHeight="1"/>
    <row r="276" s="384" customFormat="1" ht="14.25" customHeight="1"/>
    <row r="277" s="384" customFormat="1" ht="14.25" customHeight="1"/>
    <row r="278" s="384" customFormat="1" ht="14.25" customHeight="1"/>
    <row r="279" s="384" customFormat="1" ht="14.25" customHeight="1"/>
    <row r="280" s="384" customFormat="1" ht="14.25" customHeight="1"/>
    <row r="281" s="384" customFormat="1" ht="14.25" customHeight="1"/>
    <row r="282" s="384" customFormat="1" ht="14.25" customHeight="1"/>
    <row r="283" s="384" customFormat="1" ht="14.25" customHeight="1"/>
    <row r="284" s="384" customFormat="1" ht="14.25" customHeight="1"/>
    <row r="285" s="384" customFormat="1" ht="14.25" customHeight="1"/>
    <row r="286" s="384" customFormat="1" ht="14.25" customHeight="1"/>
    <row r="287" s="384" customFormat="1" ht="14.25" customHeight="1"/>
    <row r="288" s="384" customFormat="1" ht="14.25" customHeight="1"/>
    <row r="289" s="384" customFormat="1" ht="14.25" customHeight="1"/>
    <row r="290" s="384" customFormat="1" ht="14.25" customHeight="1"/>
    <row r="291" s="384" customFormat="1" ht="14.25" customHeight="1"/>
    <row r="292" s="384" customFormat="1" ht="14.25" customHeight="1"/>
    <row r="293" s="384" customFormat="1" ht="14.25" customHeight="1"/>
    <row r="294" s="384" customFormat="1" ht="14.25" customHeight="1"/>
    <row r="295" s="384" customFormat="1" ht="14.25" customHeight="1"/>
    <row r="296" s="384" customFormat="1" ht="14.25" customHeight="1"/>
    <row r="297" s="384" customFormat="1" ht="14.25" customHeight="1"/>
    <row r="298" s="384" customFormat="1" ht="14.25" customHeight="1"/>
    <row r="299" s="384" customFormat="1" ht="14.25" customHeight="1"/>
    <row r="300" s="384" customFormat="1" ht="14.25" customHeight="1"/>
    <row r="301" s="384" customFormat="1" ht="14.25" customHeight="1"/>
    <row r="302" s="384" customFormat="1" ht="14.25" customHeight="1"/>
    <row r="303" s="384" customFormat="1" ht="14.25" customHeight="1"/>
    <row r="304" s="384" customFormat="1" ht="14.25" customHeight="1"/>
    <row r="305" s="384" customFormat="1" ht="14.25" customHeight="1"/>
    <row r="306" s="384" customFormat="1" ht="14.25" customHeight="1"/>
    <row r="307" s="384" customFormat="1" ht="14.25" customHeight="1"/>
    <row r="308" s="384" customFormat="1" ht="14.25" customHeight="1"/>
    <row r="309" s="384" customFormat="1" ht="14.25" customHeight="1"/>
    <row r="310" s="384" customFormat="1" ht="14.25" customHeight="1"/>
    <row r="311" s="384" customFormat="1" ht="14.25" customHeight="1"/>
    <row r="312" s="384" customFormat="1" ht="14.25" customHeight="1"/>
    <row r="313" s="384" customFormat="1" ht="14.25" customHeight="1"/>
    <row r="314" s="384" customFormat="1" ht="14.25" customHeight="1"/>
    <row r="315" s="384" customFormat="1" ht="14.25" customHeight="1"/>
    <row r="316" s="384" customFormat="1" ht="14.25" customHeight="1"/>
    <row r="317" s="384" customFormat="1" ht="14.25" customHeight="1"/>
    <row r="318" s="384" customFormat="1" ht="14.25" customHeight="1"/>
    <row r="319" s="384" customFormat="1" ht="14.25" customHeight="1"/>
    <row r="320" s="384" customFormat="1" ht="14.25" customHeight="1"/>
    <row r="321" s="384" customFormat="1" ht="14.25" customHeight="1"/>
    <row r="322" s="384" customFormat="1" ht="14.25" customHeight="1"/>
    <row r="323" s="384" customFormat="1" ht="14.25" customHeight="1"/>
    <row r="324" s="384" customFormat="1" ht="14.25" customHeight="1"/>
    <row r="325" s="384" customFormat="1" ht="14.25" customHeight="1"/>
    <row r="326" s="384" customFormat="1" ht="14.25" customHeight="1"/>
    <row r="327" s="384" customFormat="1" ht="14.25" customHeight="1"/>
    <row r="328" s="384" customFormat="1" ht="14.25" customHeight="1"/>
    <row r="329" s="384" customFormat="1" ht="14.25" customHeight="1"/>
    <row r="330" s="384" customFormat="1" ht="14.25" customHeight="1"/>
    <row r="331" s="384" customFormat="1" ht="14.25" customHeight="1"/>
    <row r="332" s="384" customFormat="1" ht="14.25" customHeight="1"/>
    <row r="333" s="384" customFormat="1" ht="14.25" customHeight="1"/>
    <row r="334" s="384" customFormat="1" ht="14.25" customHeight="1"/>
    <row r="335" s="384" customFormat="1" ht="14.25" customHeight="1"/>
    <row r="336" s="384" customFormat="1" ht="14.25" customHeight="1"/>
    <row r="337" s="384" customFormat="1" ht="14.25" customHeight="1"/>
    <row r="338" s="384" customFormat="1" ht="14.25" customHeight="1"/>
    <row r="339" s="384" customFormat="1" ht="14.25" customHeight="1"/>
    <row r="340" s="384" customFormat="1" ht="14.25" customHeight="1"/>
    <row r="341" s="384" customFormat="1" ht="14.25" customHeight="1"/>
    <row r="342" s="384" customFormat="1" ht="14.25" customHeight="1"/>
    <row r="343" s="384" customFormat="1" ht="14.25" customHeight="1"/>
    <row r="344" s="384" customFormat="1" ht="14.25" customHeight="1"/>
    <row r="345" s="384" customFormat="1" ht="14.25" customHeight="1"/>
    <row r="346" s="384" customFormat="1" ht="14.25" customHeight="1"/>
    <row r="347" s="384" customFormat="1" ht="14.25" customHeight="1"/>
    <row r="348" s="384" customFormat="1" ht="14.25" customHeight="1"/>
    <row r="349" s="384" customFormat="1" ht="14.25" customHeight="1"/>
    <row r="350" s="384" customFormat="1" ht="14.25" customHeight="1"/>
    <row r="351" s="384" customFormat="1" ht="14.25" customHeight="1"/>
    <row r="352" s="384" customFormat="1" ht="14.25" customHeight="1"/>
    <row r="353" s="384" customFormat="1" ht="14.25" customHeight="1"/>
    <row r="354" s="384" customFormat="1" ht="14.25" customHeight="1"/>
    <row r="355" s="384" customFormat="1" ht="14.25" customHeight="1"/>
    <row r="356" s="384" customFormat="1" ht="14.25" customHeight="1"/>
    <row r="357" s="384" customFormat="1" ht="14.25" customHeight="1"/>
    <row r="358" s="384" customFormat="1" ht="14.25" customHeight="1"/>
    <row r="359" s="384" customFormat="1" ht="14.25" customHeight="1"/>
    <row r="360" s="384" customFormat="1" ht="14.25" customHeight="1"/>
    <row r="361" s="384" customFormat="1" ht="14.25" customHeight="1"/>
    <row r="362" s="384" customFormat="1" ht="14.25" customHeight="1"/>
    <row r="363" s="384" customFormat="1" ht="14.25" customHeight="1"/>
    <row r="364" s="384" customFormat="1" ht="14.25" customHeight="1"/>
    <row r="365" s="384" customFormat="1" ht="14.25" customHeight="1"/>
    <row r="366" s="384" customFormat="1" ht="14.25" customHeight="1"/>
    <row r="367" s="384" customFormat="1" ht="14.25" customHeight="1"/>
    <row r="368" s="384" customFormat="1" ht="14.25" customHeight="1"/>
    <row r="369" s="384" customFormat="1" ht="14.25" customHeight="1"/>
    <row r="370" s="384" customFormat="1" ht="14.25" customHeight="1"/>
    <row r="371" s="384" customFormat="1" ht="14.25" customHeight="1"/>
    <row r="372" s="384" customFormat="1" ht="14.25" customHeight="1"/>
    <row r="373" s="384" customFormat="1" ht="14.25" customHeight="1"/>
    <row r="374" s="384" customFormat="1" ht="14.25" customHeight="1"/>
    <row r="375" s="384" customFormat="1" ht="14.25" customHeight="1"/>
    <row r="376" s="384" customFormat="1" ht="14.25" customHeight="1"/>
    <row r="377" s="384" customFormat="1" ht="14.25" customHeight="1"/>
    <row r="378" s="384" customFormat="1" ht="14.25" customHeight="1"/>
    <row r="379" s="384" customFormat="1" ht="14.25" customHeight="1"/>
    <row r="380" s="384" customFormat="1" ht="14.25" customHeight="1"/>
    <row r="381" s="384" customFormat="1" ht="14.25" customHeight="1"/>
    <row r="382" s="384" customFormat="1" ht="14.25" customHeight="1"/>
    <row r="383" s="384" customFormat="1" ht="14.25" customHeight="1"/>
    <row r="384" s="384" customFormat="1" ht="14.25" customHeight="1"/>
    <row r="385" s="384" customFormat="1" ht="14.25" customHeight="1"/>
    <row r="386" s="384" customFormat="1" ht="14.25" customHeight="1"/>
    <row r="387" s="384" customFormat="1" ht="14.25" customHeight="1"/>
    <row r="388" s="384" customFormat="1" ht="14.25" customHeight="1"/>
    <row r="389" s="384" customFormat="1" ht="14.25" customHeight="1"/>
    <row r="390" s="384" customFormat="1" ht="14.25" customHeight="1"/>
    <row r="391" s="384" customFormat="1" ht="14.25" customHeight="1"/>
    <row r="392" s="384" customFormat="1" ht="14.25" customHeight="1"/>
    <row r="393" s="384" customFormat="1" ht="14.25" customHeight="1"/>
    <row r="394" s="384" customFormat="1" ht="14.25" customHeight="1"/>
    <row r="395" s="384" customFormat="1" ht="14.25" customHeight="1"/>
    <row r="396" s="384" customFormat="1" ht="14.25" customHeight="1"/>
    <row r="397" s="384" customFormat="1" ht="14.25" customHeight="1"/>
    <row r="398" s="384" customFormat="1" ht="14.25" customHeight="1"/>
    <row r="399" s="384" customFormat="1" ht="14.25" customHeight="1"/>
    <row r="400" s="384" customFormat="1" ht="14.25" customHeight="1"/>
    <row r="401" s="384" customFormat="1" ht="14.25" customHeight="1"/>
    <row r="402" s="384" customFormat="1" ht="14.25" customHeight="1"/>
    <row r="403" s="384" customFormat="1" ht="14.25" customHeight="1"/>
    <row r="404" s="384" customFormat="1" ht="14.25" customHeight="1"/>
    <row r="405" s="384" customFormat="1" ht="14.25" customHeight="1"/>
    <row r="406" s="384" customFormat="1" ht="14.25" customHeight="1"/>
    <row r="407" s="384" customFormat="1" ht="14.25" customHeight="1"/>
    <row r="408" s="384" customFormat="1" ht="14.25" customHeight="1"/>
    <row r="409" s="384" customFormat="1" ht="14.25" customHeight="1"/>
    <row r="410" s="384" customFormat="1" ht="14.25" customHeight="1"/>
    <row r="411" s="384" customFormat="1" ht="14.25" customHeight="1"/>
    <row r="412" s="384" customFormat="1" ht="14.25" customHeight="1"/>
    <row r="413" s="384" customFormat="1" ht="14.25" customHeight="1"/>
    <row r="414" s="384" customFormat="1" ht="14.25" customHeight="1"/>
    <row r="415" s="384" customFormat="1" ht="14.25" customHeight="1"/>
    <row r="416" s="384" customFormat="1" ht="14.25" customHeight="1"/>
    <row r="417" s="384" customFormat="1" ht="14.25" customHeight="1"/>
    <row r="418" s="384" customFormat="1" ht="14.25" customHeight="1"/>
    <row r="419" s="384" customFormat="1" ht="14.25" customHeight="1"/>
    <row r="420" s="384" customFormat="1" ht="14.25" customHeight="1"/>
    <row r="421" s="384" customFormat="1" ht="14.25" customHeight="1"/>
    <row r="422" s="384" customFormat="1" ht="14.25" customHeight="1"/>
    <row r="423" s="384" customFormat="1" ht="14.25" customHeight="1"/>
    <row r="424" s="384" customFormat="1" ht="14.25" customHeight="1"/>
    <row r="425" s="384" customFormat="1" ht="14.25" customHeight="1"/>
    <row r="426" s="384" customFormat="1" ht="14.25" customHeight="1"/>
    <row r="427" s="384" customFormat="1" ht="14.25" customHeight="1"/>
    <row r="428" s="384" customFormat="1" ht="14.25" customHeight="1"/>
    <row r="429" s="384" customFormat="1" ht="14.25" customHeight="1"/>
    <row r="430" s="384" customFormat="1" ht="14.25" customHeight="1"/>
    <row r="431" s="384" customFormat="1" ht="14.25" customHeight="1"/>
    <row r="432" s="384" customFormat="1" ht="14.25" customHeight="1"/>
    <row r="433" s="384" customFormat="1" ht="14.25" customHeight="1"/>
    <row r="434" s="384" customFormat="1" ht="14.25" customHeight="1"/>
    <row r="435" s="384" customFormat="1" ht="14.25" customHeight="1"/>
    <row r="436" s="384" customFormat="1" ht="14.25" customHeight="1"/>
    <row r="437" s="384" customFormat="1" ht="14.25" customHeight="1"/>
    <row r="438" s="384" customFormat="1" ht="14.25" customHeight="1"/>
    <row r="439" s="384" customFormat="1" ht="14.25" customHeight="1"/>
    <row r="440" s="384" customFormat="1" ht="14.25" customHeight="1"/>
    <row r="441" s="384" customFormat="1" ht="14.25" customHeight="1"/>
    <row r="442" s="384" customFormat="1" ht="14.25" customHeight="1"/>
    <row r="443" s="384" customFormat="1" ht="14.25" customHeight="1"/>
    <row r="444" s="384" customFormat="1" ht="14.25" customHeight="1"/>
    <row r="445" s="384" customFormat="1" ht="14.25" customHeight="1"/>
    <row r="446" s="384" customFormat="1" ht="14.25" customHeight="1"/>
    <row r="447" s="384" customFormat="1" ht="14.25" customHeight="1"/>
    <row r="448" s="384" customFormat="1" ht="14.25" customHeight="1"/>
    <row r="449" s="384" customFormat="1" ht="14.25" customHeight="1"/>
    <row r="450" s="384" customFormat="1" ht="14.25" customHeight="1"/>
    <row r="451" s="384" customFormat="1" ht="14.25" customHeight="1"/>
    <row r="452" s="384" customFormat="1" ht="14.25" customHeight="1"/>
    <row r="453" s="384" customFormat="1" ht="14.25" customHeight="1"/>
    <row r="454" s="384" customFormat="1" ht="14.25" customHeight="1"/>
    <row r="455" s="384" customFormat="1" ht="14.25" customHeight="1"/>
    <row r="456" s="384" customFormat="1" ht="14.25" customHeight="1"/>
    <row r="457" s="384" customFormat="1" ht="14.25" customHeight="1"/>
    <row r="458" s="384" customFormat="1" ht="14.25" customHeight="1"/>
    <row r="459" s="384" customFormat="1" ht="14.25" customHeight="1"/>
    <row r="460" s="384" customFormat="1" ht="14.25" customHeight="1"/>
    <row r="461" s="384" customFormat="1" ht="14.25" customHeight="1"/>
    <row r="462" s="384" customFormat="1" ht="14.25" customHeight="1"/>
    <row r="463" s="384" customFormat="1" ht="14.25" customHeight="1"/>
    <row r="464" s="384" customFormat="1" ht="14.25" customHeight="1"/>
    <row r="465" s="384" customFormat="1" ht="14.25" customHeight="1"/>
    <row r="466" s="384" customFormat="1" ht="14.25" customHeight="1"/>
    <row r="467" s="384" customFormat="1" ht="14.25" customHeight="1"/>
    <row r="468" s="384" customFormat="1" ht="14.25" customHeight="1"/>
    <row r="469" s="384" customFormat="1" ht="14.25" customHeight="1"/>
    <row r="470" s="384" customFormat="1" ht="14.25" customHeight="1"/>
    <row r="471" s="384" customFormat="1" ht="14.25" customHeight="1"/>
    <row r="472" s="384" customFormat="1" ht="14.25" customHeight="1"/>
    <row r="473" s="384" customFormat="1" ht="14.25" customHeight="1"/>
    <row r="474" s="384" customFormat="1" ht="14.25" customHeight="1"/>
    <row r="475" s="384" customFormat="1" ht="14.25" customHeight="1"/>
    <row r="476" s="384" customFormat="1" ht="14.25" customHeight="1"/>
    <row r="477" s="384" customFormat="1" ht="14.25" customHeight="1"/>
    <row r="478" s="384" customFormat="1" ht="14.25" customHeight="1"/>
    <row r="479" s="384" customFormat="1" ht="14.25" customHeight="1"/>
    <row r="480" s="384" customFormat="1" ht="14.25" customHeight="1"/>
    <row r="481" s="384" customFormat="1" ht="14.25" customHeight="1"/>
    <row r="482" s="384" customFormat="1" ht="14.25" customHeight="1"/>
    <row r="483" s="384" customFormat="1" ht="14.25" customHeight="1"/>
    <row r="484" s="384" customFormat="1" ht="14.25" customHeight="1"/>
    <row r="485" s="384" customFormat="1" ht="14.25" customHeight="1"/>
    <row r="486" s="384" customFormat="1" ht="14.25" customHeight="1"/>
    <row r="487" s="384" customFormat="1" ht="14.25" customHeight="1"/>
    <row r="488" s="384" customFormat="1" ht="14.25" customHeight="1"/>
    <row r="489" s="384" customFormat="1" ht="14.25" customHeight="1"/>
    <row r="490" s="384" customFormat="1" ht="14.25" customHeight="1"/>
    <row r="491" s="384" customFormat="1" ht="14.25" customHeight="1"/>
    <row r="492" s="384" customFormat="1" ht="14.25" customHeight="1"/>
    <row r="493" s="384" customFormat="1" ht="14.25" customHeight="1"/>
    <row r="494" s="384" customFormat="1" ht="14.25" customHeight="1"/>
    <row r="495" s="384" customFormat="1" ht="14.25" customHeight="1"/>
    <row r="496" s="384" customFormat="1" ht="14.25" customHeight="1"/>
    <row r="497" s="384" customFormat="1" ht="14.25" customHeight="1"/>
    <row r="498" s="384" customFormat="1" ht="14.25" customHeight="1"/>
    <row r="499" s="384" customFormat="1" ht="14.25" customHeight="1"/>
    <row r="500" s="384" customFormat="1" ht="14.25" customHeight="1"/>
    <row r="501" s="384" customFormat="1" ht="14.25" customHeight="1"/>
    <row r="502" s="384" customFormat="1" ht="14.25" customHeight="1"/>
    <row r="503" s="384" customFormat="1" ht="14.25" customHeight="1"/>
    <row r="504" s="384" customFormat="1" ht="14.25" customHeight="1"/>
    <row r="505" s="384" customFormat="1" ht="14.25" customHeight="1"/>
    <row r="506" s="384" customFormat="1" ht="14.25" customHeight="1"/>
    <row r="507" s="384" customFormat="1" ht="14.25" customHeight="1"/>
    <row r="508" s="384" customFormat="1" ht="14.25" customHeight="1"/>
    <row r="509" s="384" customFormat="1" ht="14.25" customHeight="1"/>
    <row r="510" s="384" customFormat="1" ht="14.25" customHeight="1"/>
    <row r="511" s="384" customFormat="1" ht="14.25" customHeight="1"/>
    <row r="512" s="384" customFormat="1" ht="14.25" customHeight="1"/>
    <row r="513" s="384" customFormat="1" ht="14.25" customHeight="1"/>
    <row r="514" s="384" customFormat="1" ht="14.25" customHeight="1"/>
    <row r="515" s="384" customFormat="1" ht="14.25" customHeight="1"/>
    <row r="516" s="384" customFormat="1" ht="14.25" customHeight="1"/>
    <row r="517" s="384" customFormat="1" ht="14.25" customHeight="1"/>
    <row r="518" s="384" customFormat="1" ht="14.25" customHeight="1"/>
    <row r="519" s="384" customFormat="1" ht="14.25" customHeight="1"/>
    <row r="520" s="384" customFormat="1" ht="14.25" customHeight="1"/>
    <row r="521" s="384" customFormat="1" ht="14.25" customHeight="1"/>
    <row r="522" s="384" customFormat="1" ht="14.25" customHeight="1"/>
    <row r="523" s="384" customFormat="1" ht="14.25" customHeight="1"/>
    <row r="524" s="384" customFormat="1" ht="14.25" customHeight="1"/>
    <row r="525" s="384" customFormat="1" ht="14.25" customHeight="1"/>
    <row r="526" s="384" customFormat="1" ht="14.25" customHeight="1"/>
    <row r="527" s="384" customFormat="1" ht="14.25" customHeight="1"/>
    <row r="528" s="384" customFormat="1" ht="14.25" customHeight="1"/>
    <row r="529" s="384" customFormat="1" ht="14.25" customHeight="1"/>
    <row r="530" s="384" customFormat="1" ht="14.25" customHeight="1"/>
    <row r="531" s="384" customFormat="1" ht="14.25" customHeight="1"/>
    <row r="532" s="384" customFormat="1" ht="14.25" customHeight="1"/>
    <row r="533" s="384" customFormat="1" ht="14.25" customHeight="1"/>
    <row r="534" s="384" customFormat="1" ht="14.25" customHeight="1"/>
    <row r="535" s="384" customFormat="1" ht="14.25" customHeight="1"/>
    <row r="536" s="384" customFormat="1" ht="14.25" customHeight="1"/>
    <row r="537" s="384" customFormat="1" ht="14.25" customHeight="1"/>
    <row r="538" s="384" customFormat="1" ht="14.25" customHeight="1"/>
    <row r="539" s="384" customFormat="1" ht="14.25" customHeight="1"/>
    <row r="540" s="384" customFormat="1" ht="14.25" customHeight="1"/>
    <row r="541" s="384" customFormat="1" ht="14.25" customHeight="1"/>
    <row r="542" s="384" customFormat="1" ht="14.25" customHeight="1"/>
    <row r="543" s="384" customFormat="1" ht="14.25" customHeight="1"/>
    <row r="544" s="384" customFormat="1" ht="14.25" customHeight="1"/>
    <row r="545" s="384" customFormat="1" ht="14.25" customHeight="1"/>
    <row r="546" s="384" customFormat="1" ht="14.25" customHeight="1"/>
    <row r="547" s="384" customFormat="1" ht="14.25" customHeight="1"/>
    <row r="548" s="384" customFormat="1" ht="14.25" customHeight="1"/>
    <row r="549" s="384" customFormat="1" ht="14.25" customHeight="1"/>
    <row r="550" s="384" customFormat="1" ht="14.25" customHeight="1"/>
    <row r="551" s="384" customFormat="1" ht="14.25" customHeight="1"/>
    <row r="552" s="384" customFormat="1" ht="14.25" customHeight="1"/>
    <row r="553" s="384" customFormat="1" ht="14.25" customHeight="1"/>
    <row r="554" s="384" customFormat="1" ht="14.25" customHeight="1"/>
    <row r="555" s="384" customFormat="1" ht="14.25" customHeight="1"/>
    <row r="556" s="384" customFormat="1" ht="14.25" customHeight="1"/>
    <row r="557" s="384" customFormat="1" ht="14.25" customHeight="1"/>
    <row r="558" s="384" customFormat="1" ht="14.25" customHeight="1"/>
    <row r="559" s="384" customFormat="1" ht="14.25" customHeight="1"/>
    <row r="560" s="384" customFormat="1" ht="14.25" customHeight="1"/>
    <row r="561" s="384" customFormat="1" ht="14.25" customHeight="1"/>
    <row r="562" s="384" customFormat="1" ht="14.25" customHeight="1"/>
    <row r="563" s="384" customFormat="1" ht="14.25" customHeight="1"/>
    <row r="564" s="384" customFormat="1" ht="14.25" customHeight="1"/>
    <row r="565" s="384" customFormat="1" ht="14.25" customHeight="1"/>
    <row r="566" s="384" customFormat="1" ht="14.25" customHeight="1"/>
    <row r="567" s="384" customFormat="1" ht="14.25" customHeight="1"/>
    <row r="568" s="384" customFormat="1" ht="14.25" customHeight="1"/>
    <row r="569" s="384" customFormat="1" ht="14.25" customHeight="1"/>
    <row r="570" s="384" customFormat="1" ht="14.25" customHeight="1"/>
    <row r="571" s="384" customFormat="1" ht="14.25" customHeight="1"/>
    <row r="572" s="384" customFormat="1" ht="14.25" customHeight="1"/>
    <row r="573" s="384" customFormat="1" ht="14.25" customHeight="1"/>
    <row r="574" s="384" customFormat="1" ht="14.25" customHeight="1"/>
    <row r="575" s="384" customFormat="1" ht="14.25" customHeight="1"/>
    <row r="576" s="384" customFormat="1" ht="14.25" customHeight="1"/>
    <row r="577" s="384" customFormat="1" ht="14.25" customHeight="1"/>
    <row r="578" s="384" customFormat="1" ht="14.25" customHeight="1"/>
    <row r="579" s="384" customFormat="1" ht="14.25" customHeight="1"/>
    <row r="580" s="384" customFormat="1" ht="14.25" customHeight="1"/>
    <row r="581" s="384" customFormat="1" ht="14.25" customHeight="1"/>
    <row r="582" s="384" customFormat="1" ht="14.25" customHeight="1"/>
    <row r="583" s="384" customFormat="1" ht="14.25" customHeight="1"/>
    <row r="584" s="384" customFormat="1" ht="14.25" customHeight="1"/>
    <row r="585" s="384" customFormat="1" ht="14.25" customHeight="1"/>
    <row r="586" s="384" customFormat="1" ht="14.25" customHeight="1"/>
    <row r="587" s="384" customFormat="1" ht="14.25" customHeight="1"/>
    <row r="588" s="384" customFormat="1" ht="14.25" customHeight="1"/>
    <row r="589" s="384" customFormat="1" ht="14.25" customHeight="1"/>
    <row r="590" s="384" customFormat="1" ht="14.25" customHeight="1"/>
    <row r="591" s="384" customFormat="1" ht="14.25" customHeight="1"/>
    <row r="592" s="384" customFormat="1" ht="14.25" customHeight="1"/>
    <row r="593" s="384" customFormat="1" ht="14.25" customHeight="1"/>
    <row r="594" s="384" customFormat="1" ht="14.25" customHeight="1"/>
    <row r="595" s="384" customFormat="1" ht="14.25" customHeight="1"/>
    <row r="596" s="384" customFormat="1" ht="14.25" customHeight="1"/>
    <row r="597" s="384" customFormat="1" ht="14.25" customHeight="1"/>
    <row r="598" s="384" customFormat="1" ht="14.25" customHeight="1"/>
    <row r="599" s="384" customFormat="1" ht="14.25" customHeight="1"/>
    <row r="600" s="384" customFormat="1" ht="14.25" customHeight="1"/>
    <row r="601" s="384" customFormat="1" ht="14.25" customHeight="1"/>
    <row r="602" s="384" customFormat="1" ht="14.25" customHeight="1"/>
    <row r="603" s="384" customFormat="1" ht="14.25" customHeight="1"/>
    <row r="604" s="384" customFormat="1" ht="14.25" customHeight="1"/>
    <row r="605" s="384" customFormat="1" ht="14.25" customHeight="1"/>
    <row r="606" s="384" customFormat="1" ht="14.25" customHeight="1"/>
    <row r="607" s="384" customFormat="1" ht="14.25" customHeight="1"/>
    <row r="608" s="384" customFormat="1" ht="14.25" customHeight="1"/>
    <row r="609" s="384" customFormat="1" ht="14.25" customHeight="1"/>
    <row r="610" s="384" customFormat="1" ht="14.25" customHeight="1"/>
    <row r="611" s="384" customFormat="1" ht="14.25" customHeight="1"/>
    <row r="612" s="384" customFormat="1" ht="14.25" customHeight="1"/>
    <row r="613" s="384" customFormat="1" ht="14.25" customHeight="1"/>
    <row r="614" s="384" customFormat="1" ht="14.25" customHeight="1"/>
    <row r="615" s="384" customFormat="1" ht="14.25" customHeight="1"/>
    <row r="616" s="384" customFormat="1" ht="14.25" customHeight="1"/>
    <row r="617" s="384" customFormat="1" ht="14.25" customHeight="1"/>
    <row r="618" s="384" customFormat="1" ht="14.25" customHeight="1"/>
    <row r="619" s="384" customFormat="1" ht="14.25" customHeight="1"/>
    <row r="620" s="384" customFormat="1" ht="14.25" customHeight="1"/>
    <row r="621" s="384" customFormat="1" ht="14.25" customHeight="1"/>
    <row r="622" s="384" customFormat="1" ht="14.25" customHeight="1"/>
    <row r="623" s="384" customFormat="1" ht="14.25" customHeight="1"/>
    <row r="624" s="384" customFormat="1" ht="14.25" customHeight="1"/>
    <row r="625" s="384" customFormat="1" ht="14.25" customHeight="1"/>
    <row r="626" s="384" customFormat="1" ht="14.25" customHeight="1"/>
    <row r="627" s="384" customFormat="1" ht="14.25" customHeight="1"/>
    <row r="628" s="384" customFormat="1" ht="14.25" customHeight="1"/>
    <row r="629" s="384" customFormat="1" ht="14.25" customHeight="1"/>
    <row r="630" s="384" customFormat="1" ht="14.25" customHeight="1"/>
    <row r="631" s="384" customFormat="1" ht="14.25" customHeight="1"/>
    <row r="632" s="384" customFormat="1" ht="14.25" customHeight="1"/>
    <row r="633" s="384" customFormat="1" ht="14.25" customHeight="1"/>
    <row r="634" s="384" customFormat="1" ht="14.25" customHeight="1"/>
    <row r="635" s="384" customFormat="1" ht="14.25" customHeight="1"/>
    <row r="636" s="384" customFormat="1" ht="14.25" customHeight="1"/>
    <row r="637" s="384" customFormat="1" ht="14.25" customHeight="1"/>
    <row r="638" s="384" customFormat="1" ht="14.25" customHeight="1"/>
    <row r="639" s="384" customFormat="1" ht="14.25" customHeight="1"/>
    <row r="640" s="384" customFormat="1" ht="14.25" customHeight="1"/>
    <row r="641" s="384" customFormat="1" ht="14.25" customHeight="1"/>
    <row r="642" s="384" customFormat="1" ht="14.25" customHeight="1"/>
    <row r="643" s="384" customFormat="1" ht="14.25" customHeight="1"/>
    <row r="644" s="384" customFormat="1" ht="14.25" customHeight="1"/>
    <row r="645" s="384" customFormat="1" ht="14.25" customHeight="1"/>
    <row r="646" s="384" customFormat="1" ht="14.25" customHeight="1"/>
    <row r="647" s="384" customFormat="1" ht="14.25" customHeight="1"/>
    <row r="648" s="384" customFormat="1" ht="14.25" customHeight="1"/>
    <row r="649" s="384" customFormat="1" ht="14.25" customHeight="1"/>
    <row r="650" s="384" customFormat="1" ht="14.25" customHeight="1"/>
    <row r="651" s="384" customFormat="1" ht="14.25" customHeight="1"/>
    <row r="652" s="384" customFormat="1" ht="14.25" customHeight="1"/>
    <row r="653" s="384" customFormat="1" ht="14.25" customHeight="1"/>
    <row r="654" s="384" customFormat="1" ht="14.25" customHeight="1"/>
    <row r="655" s="384" customFormat="1" ht="14.25" customHeight="1"/>
    <row r="656" s="384" customFormat="1" ht="14.25" customHeight="1"/>
    <row r="657" s="384" customFormat="1" ht="14.25" customHeight="1"/>
    <row r="658" s="384" customFormat="1" ht="14.25" customHeight="1"/>
    <row r="659" s="384" customFormat="1" ht="14.25" customHeight="1"/>
    <row r="660" s="384" customFormat="1" ht="14.25" customHeight="1"/>
    <row r="661" s="384" customFormat="1" ht="14.25" customHeight="1"/>
    <row r="662" s="384" customFormat="1" ht="14.25" customHeight="1"/>
    <row r="663" s="384" customFormat="1" ht="14.25" customHeight="1"/>
    <row r="664" s="384" customFormat="1" ht="14.25" customHeight="1"/>
    <row r="665" s="384" customFormat="1" ht="14.25" customHeight="1"/>
    <row r="666" s="384" customFormat="1" ht="14.25" customHeight="1"/>
    <row r="667" s="384" customFormat="1" ht="14.25" customHeight="1"/>
    <row r="668" s="384" customFormat="1" ht="14.25" customHeight="1"/>
    <row r="669" s="384" customFormat="1" ht="14.25" customHeight="1"/>
    <row r="670" s="384" customFormat="1" ht="14.25" customHeight="1"/>
    <row r="671" s="384" customFormat="1" ht="14.25" customHeight="1"/>
    <row r="672" s="384" customFormat="1" ht="14.25" customHeight="1"/>
    <row r="673" s="384" customFormat="1" ht="14.25" customHeight="1"/>
    <row r="674" s="384" customFormat="1" ht="14.25" customHeight="1"/>
    <row r="675" s="384" customFormat="1" ht="14.25" customHeight="1"/>
    <row r="676" s="384" customFormat="1" ht="14.25" customHeight="1"/>
    <row r="677" s="384" customFormat="1" ht="14.25" customHeight="1"/>
    <row r="678" s="384" customFormat="1" ht="14.25" customHeight="1"/>
    <row r="679" s="384" customFormat="1" ht="14.25" customHeight="1"/>
    <row r="680" s="384" customFormat="1" ht="14.25" customHeight="1"/>
    <row r="681" s="384" customFormat="1" ht="14.25" customHeight="1"/>
    <row r="682" s="384" customFormat="1" ht="14.25" customHeight="1"/>
    <row r="683" s="384" customFormat="1" ht="14.25" customHeight="1"/>
    <row r="684" s="384" customFormat="1" ht="14.25" customHeight="1"/>
    <row r="685" s="384" customFormat="1" ht="14.25" customHeight="1"/>
    <row r="686" s="384" customFormat="1" ht="14.25" customHeight="1"/>
    <row r="687" s="384" customFormat="1" ht="14.25" customHeight="1"/>
    <row r="688" s="384" customFormat="1" ht="14.25" customHeight="1"/>
    <row r="689" s="384" customFormat="1" ht="14.25" customHeight="1"/>
    <row r="690" s="384" customFormat="1" ht="14.25" customHeight="1"/>
    <row r="691" s="384" customFormat="1" ht="14.25" customHeight="1"/>
    <row r="692" s="384" customFormat="1" ht="14.25" customHeight="1"/>
    <row r="693" s="384" customFormat="1" ht="14.25" customHeight="1"/>
    <row r="694" s="384" customFormat="1" ht="14.25" customHeight="1"/>
    <row r="695" s="384" customFormat="1" ht="14.25" customHeight="1"/>
    <row r="696" s="384" customFormat="1" ht="14.25" customHeight="1"/>
    <row r="697" s="384" customFormat="1" ht="14.25" customHeight="1"/>
    <row r="698" s="384" customFormat="1" ht="14.25" customHeight="1"/>
    <row r="699" s="384" customFormat="1" ht="14.25" customHeight="1"/>
    <row r="700" s="384" customFormat="1" ht="14.25" customHeight="1"/>
    <row r="701" s="384" customFormat="1" ht="14.25" customHeight="1"/>
    <row r="702" s="384" customFormat="1" ht="14.25" customHeight="1"/>
    <row r="703" s="384" customFormat="1" ht="14.25" customHeight="1"/>
    <row r="704" s="384" customFormat="1" ht="14.25" customHeight="1"/>
    <row r="705" s="384" customFormat="1" ht="14.25" customHeight="1"/>
    <row r="706" s="384" customFormat="1" ht="14.25" customHeight="1"/>
    <row r="707" s="384" customFormat="1" ht="14.25" customHeight="1"/>
    <row r="708" s="384" customFormat="1" ht="14.25" customHeight="1"/>
    <row r="709" s="384" customFormat="1" ht="14.25" customHeight="1"/>
    <row r="710" s="384" customFormat="1" ht="14.25" customHeight="1"/>
    <row r="711" s="384" customFormat="1" ht="14.25" customHeight="1"/>
    <row r="712" s="384" customFormat="1" ht="14.25" customHeight="1"/>
    <row r="713" s="384" customFormat="1" ht="14.25" customHeight="1"/>
    <row r="714" s="384" customFormat="1" ht="14.25" customHeight="1"/>
    <row r="715" s="384" customFormat="1" ht="14.25" customHeight="1"/>
    <row r="716" s="384" customFormat="1" ht="14.25" customHeight="1"/>
    <row r="717" s="384" customFormat="1" ht="14.25" customHeight="1"/>
    <row r="718" s="384" customFormat="1" ht="14.25" customHeight="1"/>
    <row r="719" s="384" customFormat="1" ht="14.25" customHeight="1"/>
    <row r="720" s="384" customFormat="1" ht="14.25" customHeight="1"/>
    <row r="721" s="384" customFormat="1" ht="14.25" customHeight="1"/>
    <row r="722" s="384" customFormat="1" ht="14.25" customHeight="1"/>
    <row r="723" s="384" customFormat="1" ht="14.25" customHeight="1"/>
    <row r="724" s="384" customFormat="1" ht="14.25" customHeight="1"/>
    <row r="725" s="384" customFormat="1" ht="14.25" customHeight="1"/>
    <row r="726" s="384" customFormat="1" ht="14.25" customHeight="1"/>
    <row r="727" s="384" customFormat="1" ht="14.25" customHeight="1"/>
    <row r="728" s="384" customFormat="1" ht="14.25" customHeight="1"/>
    <row r="729" s="384" customFormat="1" ht="14.25" customHeight="1"/>
    <row r="730" s="384" customFormat="1" ht="14.25" customHeight="1"/>
    <row r="731" s="384" customFormat="1" ht="14.25" customHeight="1"/>
    <row r="732" s="384" customFormat="1" ht="14.25" customHeight="1"/>
    <row r="733" s="384" customFormat="1" ht="14.25" customHeight="1"/>
    <row r="734" s="384" customFormat="1" ht="14.25" customHeight="1"/>
    <row r="735" s="384" customFormat="1" ht="14.25" customHeight="1"/>
    <row r="736" s="384" customFormat="1" ht="14.25" customHeight="1"/>
    <row r="737" s="384" customFormat="1" ht="14.25" customHeight="1"/>
    <row r="738" s="384" customFormat="1" ht="14.25" customHeight="1"/>
    <row r="739" s="384" customFormat="1" ht="14.25" customHeight="1"/>
    <row r="740" s="384" customFormat="1" ht="14.25" customHeight="1"/>
    <row r="741" s="384" customFormat="1" ht="14.25" customHeight="1"/>
    <row r="742" s="384" customFormat="1" ht="14.25" customHeight="1"/>
    <row r="743" s="384" customFormat="1" ht="14.25" customHeight="1"/>
    <row r="744" s="384" customFormat="1" ht="14.25" customHeight="1"/>
    <row r="745" s="384" customFormat="1" ht="14.25" customHeight="1"/>
    <row r="746" s="384" customFormat="1" ht="14.25" customHeight="1"/>
    <row r="747" s="384" customFormat="1" ht="14.25" customHeight="1"/>
    <row r="748" s="384" customFormat="1" ht="14.25" customHeight="1"/>
    <row r="749" s="384" customFormat="1" ht="14.25" customHeight="1"/>
    <row r="750" s="384" customFormat="1" ht="14.25" customHeight="1"/>
    <row r="751" s="384" customFormat="1" ht="14.25" customHeight="1"/>
    <row r="752" s="384" customFormat="1" ht="14.25" customHeight="1"/>
    <row r="753" s="384" customFormat="1" ht="14.25" customHeight="1"/>
    <row r="754" s="384" customFormat="1" ht="14.25" customHeight="1"/>
    <row r="755" s="384" customFormat="1" ht="14.25" customHeight="1"/>
    <row r="756" s="384" customFormat="1" ht="14.25" customHeight="1"/>
    <row r="757" s="384" customFormat="1" ht="14.25" customHeight="1"/>
    <row r="758" s="384" customFormat="1" ht="14.25" customHeight="1"/>
    <row r="759" s="384" customFormat="1" ht="14.25" customHeight="1"/>
    <row r="760" s="384" customFormat="1" ht="14.25" customHeight="1"/>
    <row r="761" s="384" customFormat="1" ht="14.25" customHeight="1"/>
    <row r="762" s="384" customFormat="1" ht="14.25" customHeight="1"/>
    <row r="763" s="384" customFormat="1" ht="14.25" customHeight="1"/>
    <row r="764" s="384" customFormat="1" ht="14.25" customHeight="1"/>
    <row r="765" s="384" customFormat="1" ht="14.25" customHeight="1"/>
    <row r="766" s="384" customFormat="1" ht="14.25" customHeight="1"/>
    <row r="767" s="384" customFormat="1" ht="14.25" customHeight="1"/>
    <row r="768" s="384" customFormat="1" ht="14.25" customHeight="1"/>
    <row r="769" s="384" customFormat="1" ht="14.25" customHeight="1"/>
    <row r="770" s="384" customFormat="1" ht="14.25" customHeight="1"/>
    <row r="771" s="384" customFormat="1" ht="14.25" customHeight="1"/>
    <row r="772" s="384" customFormat="1" ht="14.25" customHeight="1"/>
    <row r="773" s="384" customFormat="1" ht="14.25" customHeight="1"/>
    <row r="774" s="384" customFormat="1" ht="14.25" customHeight="1"/>
    <row r="775" s="384" customFormat="1" ht="14.25" customHeight="1"/>
    <row r="776" s="384" customFormat="1" ht="14.25" customHeight="1"/>
    <row r="777" s="384" customFormat="1" ht="14.25" customHeight="1"/>
    <row r="778" s="384" customFormat="1" ht="14.25" customHeight="1"/>
    <row r="779" s="384" customFormat="1" ht="14.25" customHeight="1"/>
    <row r="780" s="384" customFormat="1" ht="14.25" customHeight="1"/>
    <row r="781" s="384" customFormat="1" ht="14.25" customHeight="1"/>
    <row r="782" s="384" customFormat="1" ht="14.25" customHeight="1"/>
    <row r="783" s="384" customFormat="1" ht="14.25" customHeight="1"/>
    <row r="784" s="384" customFormat="1" ht="14.25" customHeight="1"/>
    <row r="785" s="384" customFormat="1" ht="14.25" customHeight="1"/>
    <row r="786" s="384" customFormat="1" ht="14.25" customHeight="1"/>
    <row r="787" s="384" customFormat="1" ht="14.25" customHeight="1"/>
    <row r="788" s="384" customFormat="1" ht="14.25" customHeight="1"/>
    <row r="789" s="384" customFormat="1" ht="14.25" customHeight="1"/>
    <row r="790" s="384" customFormat="1" ht="14.25" customHeight="1"/>
    <row r="791" s="384" customFormat="1" ht="14.25" customHeight="1"/>
    <row r="792" s="384" customFormat="1" ht="14.25" customHeight="1"/>
    <row r="793" s="384" customFormat="1" ht="14.25" customHeight="1"/>
    <row r="794" s="384" customFormat="1" ht="14.25" customHeight="1"/>
    <row r="795" s="384" customFormat="1" ht="14.25" customHeight="1"/>
    <row r="796" s="384" customFormat="1" ht="14.25" customHeight="1"/>
    <row r="797" s="384" customFormat="1" ht="14.25" customHeight="1"/>
    <row r="798" s="384" customFormat="1" ht="14.25" customHeight="1"/>
    <row r="799" s="384" customFormat="1" ht="14.25" customHeight="1"/>
    <row r="800" s="384" customFormat="1" ht="14.25" customHeight="1"/>
    <row r="801" s="384" customFormat="1" ht="14.25" customHeight="1"/>
    <row r="802" s="384" customFormat="1" ht="14.25" customHeight="1"/>
    <row r="803" s="384" customFormat="1" ht="14.25" customHeight="1"/>
    <row r="804" s="384" customFormat="1" ht="14.25" customHeight="1"/>
    <row r="805" s="384" customFormat="1" ht="14.25" customHeight="1"/>
    <row r="806" s="384" customFormat="1" ht="14.25" customHeight="1"/>
    <row r="807" s="384" customFormat="1" ht="14.25" customHeight="1"/>
    <row r="808" s="384" customFormat="1" ht="14.25" customHeight="1"/>
    <row r="809" s="384" customFormat="1" ht="14.25" customHeight="1"/>
    <row r="810" s="384" customFormat="1" ht="14.25" customHeight="1"/>
    <row r="811" s="384" customFormat="1" ht="14.25" customHeight="1"/>
    <row r="812" s="384" customFormat="1" ht="14.25" customHeight="1"/>
    <row r="813" s="384" customFormat="1" ht="14.25" customHeight="1"/>
    <row r="814" s="384" customFormat="1" ht="14.25" customHeight="1"/>
    <row r="815" s="384" customFormat="1" ht="14.25" customHeight="1"/>
    <row r="816" s="384" customFormat="1" ht="14.25" customHeight="1"/>
    <row r="817" s="384" customFormat="1" ht="14.25" customHeight="1"/>
    <row r="818" s="384" customFormat="1" ht="14.25" customHeight="1"/>
    <row r="819" s="384" customFormat="1" ht="14.25" customHeight="1"/>
    <row r="820" s="384" customFormat="1" ht="14.25" customHeight="1"/>
    <row r="821" s="384" customFormat="1" ht="14.25" customHeight="1"/>
    <row r="822" s="384" customFormat="1" ht="14.25" customHeight="1"/>
    <row r="823" s="384" customFormat="1" ht="14.25" customHeight="1"/>
    <row r="824" s="384" customFormat="1" ht="14.25" customHeight="1"/>
    <row r="825" s="384" customFormat="1" ht="14.25" customHeight="1"/>
    <row r="826" s="384" customFormat="1" ht="14.25" customHeight="1"/>
    <row r="827" s="384" customFormat="1" ht="14.25" customHeight="1"/>
    <row r="828" s="384" customFormat="1" ht="14.25" customHeight="1"/>
    <row r="829" s="384" customFormat="1" ht="14.25" customHeight="1"/>
    <row r="830" s="384" customFormat="1" ht="14.25" customHeight="1"/>
    <row r="831" s="384" customFormat="1" ht="14.25" customHeight="1"/>
    <row r="832" s="384" customFormat="1" ht="14.25" customHeight="1"/>
    <row r="833" s="384" customFormat="1" ht="14.25" customHeight="1"/>
    <row r="834" s="384" customFormat="1" ht="14.25" customHeight="1"/>
    <row r="835" s="384" customFormat="1" ht="14.25" customHeight="1"/>
    <row r="836" s="384" customFormat="1" ht="14.25" customHeight="1"/>
    <row r="837" s="384" customFormat="1" ht="14.25" customHeight="1"/>
    <row r="838" s="384" customFormat="1" ht="14.25" customHeight="1"/>
    <row r="839" s="384" customFormat="1" ht="14.25" customHeight="1"/>
    <row r="840" s="384" customFormat="1" ht="14.25" customHeight="1"/>
    <row r="841" s="384" customFormat="1" ht="14.25" customHeight="1"/>
    <row r="842" s="384" customFormat="1" ht="14.25" customHeight="1"/>
    <row r="843" s="384" customFormat="1" ht="14.25" customHeight="1"/>
    <row r="844" s="384" customFormat="1" ht="14.25" customHeight="1"/>
    <row r="845" s="384" customFormat="1" ht="14.25" customHeight="1"/>
    <row r="846" s="384" customFormat="1" ht="14.25" customHeight="1"/>
    <row r="847" s="384" customFormat="1" ht="14.25" customHeight="1"/>
    <row r="848" s="384" customFormat="1" ht="14.25" customHeight="1"/>
    <row r="849" s="384" customFormat="1" ht="14.25" customHeight="1"/>
    <row r="850" s="384" customFormat="1" ht="14.25" customHeight="1"/>
    <row r="851" s="384" customFormat="1" ht="14.25" customHeight="1"/>
    <row r="852" s="384" customFormat="1" ht="14.25" customHeight="1"/>
    <row r="853" s="384" customFormat="1" ht="14.25" customHeight="1"/>
    <row r="854" s="384" customFormat="1" ht="14.25" customHeight="1"/>
    <row r="855" s="384" customFormat="1" ht="14.25" customHeight="1"/>
    <row r="856" s="384" customFormat="1" ht="14.25" customHeight="1"/>
    <row r="857" s="384" customFormat="1" ht="14.25" customHeight="1"/>
    <row r="858" s="384" customFormat="1" ht="14.25" customHeight="1"/>
    <row r="859" s="384" customFormat="1" ht="14.25" customHeight="1"/>
    <row r="860" s="384" customFormat="1" ht="14.25" customHeight="1"/>
    <row r="861" s="384" customFormat="1" ht="14.25" customHeight="1"/>
    <row r="862" s="384" customFormat="1" ht="14.25" customHeight="1"/>
    <row r="863" s="384" customFormat="1" ht="14.25" customHeight="1"/>
    <row r="864" s="384" customFormat="1" ht="14.25" customHeight="1"/>
    <row r="865" s="384" customFormat="1" ht="14.25" customHeight="1"/>
    <row r="866" s="384" customFormat="1" ht="14.25" customHeight="1"/>
    <row r="867" s="384" customFormat="1" ht="14.25" customHeight="1"/>
    <row r="868" s="384" customFormat="1" ht="14.25" customHeight="1"/>
    <row r="869" s="384" customFormat="1" ht="14.25" customHeight="1"/>
    <row r="870" s="384" customFormat="1" ht="14.25" customHeight="1"/>
    <row r="871" s="384" customFormat="1" ht="14.25" customHeight="1"/>
    <row r="872" s="384" customFormat="1" ht="14.25" customHeight="1"/>
    <row r="873" s="384" customFormat="1" ht="14.25" customHeight="1"/>
    <row r="874" s="384" customFormat="1" ht="14.25" customHeight="1"/>
    <row r="875" s="384" customFormat="1" ht="14.25" customHeight="1"/>
    <row r="876" s="384" customFormat="1" ht="14.25" customHeight="1"/>
    <row r="877" s="384" customFormat="1" ht="14.25" customHeight="1"/>
    <row r="878" s="384" customFormat="1" ht="14.25" customHeight="1"/>
    <row r="879" s="384" customFormat="1" ht="14.25" customHeight="1"/>
    <row r="880" s="384" customFormat="1" ht="14.25" customHeight="1"/>
    <row r="881" s="384" customFormat="1" ht="14.25" customHeight="1"/>
    <row r="882" s="384" customFormat="1" ht="14.25" customHeight="1"/>
    <row r="883" s="384" customFormat="1" ht="14.25" customHeight="1"/>
    <row r="884" s="384" customFormat="1" ht="14.25" customHeight="1"/>
    <row r="885" s="384" customFormat="1" ht="14.25" customHeight="1"/>
    <row r="886" s="384" customFormat="1" ht="14.25" customHeight="1"/>
    <row r="887" s="384" customFormat="1" ht="14.25" customHeight="1"/>
    <row r="888" s="384" customFormat="1" ht="14.25" customHeight="1"/>
    <row r="889" s="384" customFormat="1" ht="14.25" customHeight="1"/>
    <row r="890" s="384" customFormat="1" ht="14.25" customHeight="1"/>
    <row r="891" s="384" customFormat="1" ht="14.25" customHeight="1"/>
    <row r="892" s="384" customFormat="1" ht="14.25" customHeight="1"/>
    <row r="893" s="384" customFormat="1" ht="14.25" customHeight="1"/>
    <row r="894" s="384" customFormat="1" ht="14.25" customHeight="1"/>
    <row r="895" s="384" customFormat="1" ht="14.25" customHeight="1"/>
    <row r="896" s="384" customFormat="1" ht="14.25" customHeight="1"/>
    <row r="897" s="384" customFormat="1" ht="14.25" customHeight="1"/>
    <row r="898" s="384" customFormat="1" ht="14.25" customHeight="1"/>
    <row r="899" s="384" customFormat="1" ht="14.25" customHeight="1"/>
    <row r="900" s="384" customFormat="1" ht="14.25" customHeight="1"/>
    <row r="901" s="384" customFormat="1" ht="14.25" customHeight="1"/>
    <row r="902" s="384" customFormat="1" ht="14.25" customHeight="1"/>
    <row r="903" s="384" customFormat="1" ht="14.25" customHeight="1"/>
    <row r="904" s="384" customFormat="1" ht="14.25" customHeight="1"/>
    <row r="905" s="384" customFormat="1" ht="14.25" customHeight="1"/>
    <row r="906" s="384" customFormat="1" ht="14.25" customHeight="1"/>
    <row r="907" s="384" customFormat="1" ht="14.25" customHeight="1"/>
    <row r="908" s="384" customFormat="1" ht="14.25" customHeight="1"/>
    <row r="909" s="384" customFormat="1" ht="14.25" customHeight="1"/>
    <row r="910" s="384" customFormat="1" ht="14.25" customHeight="1"/>
    <row r="911" s="384" customFormat="1" ht="14.25" customHeight="1"/>
    <row r="912" s="384" customFormat="1" ht="14.25" customHeight="1"/>
    <row r="913" s="384" customFormat="1" ht="14.25" customHeight="1"/>
    <row r="914" s="384" customFormat="1" ht="14.25" customHeight="1"/>
    <row r="915" s="384" customFormat="1" ht="14.25" customHeight="1"/>
    <row r="916" s="384" customFormat="1" ht="14.25" customHeight="1"/>
    <row r="917" s="384" customFormat="1" ht="14.25" customHeight="1"/>
    <row r="918" s="384" customFormat="1" ht="14.25" customHeight="1"/>
    <row r="919" s="384" customFormat="1" ht="14.25" customHeight="1"/>
    <row r="920" s="384" customFormat="1" ht="14.25" customHeight="1"/>
    <row r="921" s="384" customFormat="1" ht="14.25" customHeight="1"/>
    <row r="922" s="384" customFormat="1" ht="14.25" customHeight="1"/>
    <row r="923" s="384" customFormat="1" ht="14.25" customHeight="1"/>
    <row r="924" s="384" customFormat="1" ht="14.25" customHeight="1"/>
    <row r="925" s="384" customFormat="1" ht="14.25" customHeight="1"/>
    <row r="926" s="384" customFormat="1" ht="14.25" customHeight="1"/>
    <row r="927" s="384" customFormat="1" ht="14.25" customHeight="1"/>
    <row r="928" s="384" customFormat="1" ht="14.25" customHeight="1"/>
    <row r="929" s="384" customFormat="1" ht="14.25" customHeight="1"/>
    <row r="930" s="384" customFormat="1" ht="14.25" customHeight="1"/>
    <row r="931" s="384" customFormat="1" ht="14.25" customHeight="1"/>
    <row r="932" s="384" customFormat="1" ht="14.25" customHeight="1"/>
    <row r="933" s="384" customFormat="1" ht="14.25" customHeight="1"/>
    <row r="934" s="384" customFormat="1" ht="14.25" customHeight="1"/>
    <row r="935" s="384" customFormat="1" ht="14.25" customHeight="1"/>
    <row r="936" s="384" customFormat="1" ht="14.25" customHeight="1"/>
    <row r="937" s="384" customFormat="1" ht="14.25" customHeight="1"/>
    <row r="938" s="384" customFormat="1" ht="14.25" customHeight="1"/>
    <row r="939" s="384" customFormat="1" ht="14.25" customHeight="1"/>
    <row r="940" s="384" customFormat="1" ht="14.25" customHeight="1"/>
    <row r="941" s="384" customFormat="1" ht="14.25" customHeight="1"/>
    <row r="942" s="384" customFormat="1" ht="14.25" customHeight="1"/>
    <row r="943" s="384" customFormat="1" ht="14.25" customHeight="1"/>
    <row r="944" s="384" customFormat="1" ht="14.25" customHeight="1"/>
    <row r="945" s="384" customFormat="1" ht="14.25" customHeight="1"/>
    <row r="946" s="384" customFormat="1" ht="14.25" customHeight="1"/>
    <row r="947" s="384" customFormat="1" ht="14.25" customHeight="1"/>
    <row r="948" s="384" customFormat="1" ht="14.25" customHeight="1"/>
    <row r="949" s="384" customFormat="1" ht="14.25" customHeight="1"/>
    <row r="950" s="384" customFormat="1" ht="14.25" customHeight="1"/>
    <row r="951" s="384" customFormat="1" ht="14.25" customHeight="1"/>
    <row r="952" s="384" customFormat="1" ht="14.25" customHeight="1"/>
    <row r="953" s="384" customFormat="1" ht="14.25" customHeight="1"/>
    <row r="954" s="384" customFormat="1" ht="14.25" customHeight="1"/>
    <row r="955" s="384" customFormat="1" ht="14.25" customHeight="1"/>
    <row r="956" s="384" customFormat="1" ht="14.25" customHeight="1"/>
    <row r="957" s="384" customFormat="1" ht="14.25" customHeight="1"/>
    <row r="958" s="384" customFormat="1" ht="14.25" customHeight="1"/>
    <row r="959" s="384" customFormat="1" ht="14.25" customHeight="1"/>
    <row r="960" s="384" customFormat="1" ht="14.25" customHeight="1"/>
    <row r="961" s="384" customFormat="1" ht="14.25" customHeight="1"/>
    <row r="962" s="384" customFormat="1" ht="14.25" customHeight="1"/>
    <row r="963" s="384" customFormat="1" ht="14.25" customHeight="1"/>
    <row r="964" s="384" customFormat="1" ht="14.25" customHeight="1"/>
    <row r="965" s="384" customFormat="1" ht="14.25" customHeight="1"/>
    <row r="966" s="384" customFormat="1" ht="14.25" customHeight="1"/>
    <row r="967" s="384" customFormat="1" ht="14.25" customHeight="1"/>
    <row r="968" s="384" customFormat="1" ht="14.25" customHeight="1"/>
    <row r="969" s="384" customFormat="1" ht="14.25" customHeight="1"/>
    <row r="970" s="384" customFormat="1" ht="14.25" customHeight="1"/>
    <row r="971" s="384" customFormat="1" ht="14.25" customHeight="1"/>
    <row r="972" s="384" customFormat="1" ht="14.25" customHeight="1"/>
    <row r="973" s="384" customFormat="1" ht="14.25" customHeight="1"/>
    <row r="974" s="384" customFormat="1" ht="14.25" customHeight="1"/>
    <row r="975" s="384" customFormat="1" ht="14.25" customHeight="1"/>
    <row r="976" s="384" customFormat="1" ht="14.25" customHeight="1"/>
    <row r="977" s="384" customFormat="1" ht="14.25" customHeight="1"/>
    <row r="978" s="384" customFormat="1" ht="14.25" customHeight="1"/>
    <row r="979" s="384" customFormat="1" ht="14.25" customHeight="1"/>
    <row r="980" s="384" customFormat="1" ht="14.25" customHeight="1"/>
    <row r="981" s="384" customFormat="1" ht="14.25" customHeight="1"/>
    <row r="982" s="384" customFormat="1" ht="14.25" customHeight="1"/>
    <row r="983" s="384" customFormat="1" ht="14.25" customHeight="1"/>
    <row r="984" s="384" customFormat="1" ht="14.25" customHeight="1"/>
    <row r="985" s="384" customFormat="1" ht="14.25" customHeight="1"/>
    <row r="986" s="384" customFormat="1" ht="14.25" customHeight="1"/>
    <row r="987" s="384" customFormat="1" ht="14.25" customHeight="1"/>
    <row r="988" s="384" customFormat="1" ht="14.25" customHeight="1"/>
    <row r="989" s="384" customFormat="1" ht="14.25" customHeight="1"/>
    <row r="990" s="384" customFormat="1" ht="14.25" customHeight="1"/>
    <row r="991" s="384" customFormat="1" ht="14.25" customHeight="1"/>
    <row r="992" s="384" customFormat="1" ht="14.25" customHeight="1"/>
    <row r="993" s="384" customFormat="1" ht="14.25" customHeight="1"/>
    <row r="994" s="384" customFormat="1" ht="14.25" customHeight="1"/>
    <row r="995" s="384" customFormat="1" ht="14.25" customHeight="1"/>
    <row r="996" s="384" customFormat="1" ht="14.25" customHeight="1"/>
    <row r="997" s="384" customFormat="1" ht="14.25" customHeight="1"/>
    <row r="998" s="384" customFormat="1" ht="14.25" customHeight="1"/>
    <row r="999" s="384" customFormat="1" ht="14.25" customHeight="1"/>
    <row r="1000" s="384" customFormat="1" ht="14.25" customHeight="1"/>
    <row r="1001" s="384" customFormat="1" ht="14.25" customHeight="1"/>
    <row r="1002" s="384" customFormat="1" ht="14.25" customHeight="1"/>
    <row r="1003" s="384" customFormat="1" ht="14.25" customHeight="1"/>
    <row r="1004" s="384" customFormat="1" ht="14.25" customHeight="1"/>
    <row r="1005" s="384" customFormat="1" ht="14.25" customHeight="1"/>
    <row r="1006" s="384" customFormat="1" ht="14.25" customHeight="1"/>
    <row r="1007" s="384" customFormat="1" ht="14.25" customHeight="1"/>
    <row r="1008" s="384" customFormat="1" ht="14.25" customHeight="1"/>
    <row r="1009" s="384" customFormat="1" ht="14.25" customHeight="1"/>
    <row r="1010" s="384" customFormat="1" ht="14.25" customHeight="1"/>
    <row r="1011" s="384" customFormat="1" ht="14.25" customHeight="1"/>
    <row r="1012" s="384" customFormat="1" ht="14.25" customHeight="1"/>
    <row r="1013" s="384" customFormat="1" ht="14.25" customHeight="1"/>
  </sheetData>
  <mergeCells count="20">
    <mergeCell ref="L43:M43"/>
    <mergeCell ref="L44:M44"/>
    <mergeCell ref="L45:M45"/>
    <mergeCell ref="L3:M3"/>
    <mergeCell ref="L4:M4"/>
    <mergeCell ref="L5:M5"/>
    <mergeCell ref="L6:M6"/>
    <mergeCell ref="L7:M7"/>
    <mergeCell ref="L22:M22"/>
    <mergeCell ref="L23:M23"/>
    <mergeCell ref="L24:M24"/>
    <mergeCell ref="L25:M25"/>
    <mergeCell ref="L26:M26"/>
    <mergeCell ref="L41:M41"/>
    <mergeCell ref="L42:M42"/>
    <mergeCell ref="R6:T6"/>
    <mergeCell ref="R7:S7"/>
    <mergeCell ref="R8:S8"/>
    <mergeCell ref="R9:S9"/>
    <mergeCell ref="R10:S10"/>
  </mergeCells>
  <hyperlinks>
    <hyperlink ref="A26" r:id="rId1" xr:uid="{B7B06170-05A7-412F-AA35-359FF38A7018}"/>
  </hyperlinks>
  <pageMargins left="0.7" right="0.7" top="0.75" bottom="0.75" header="0" footer="0"/>
  <pageSetup orientation="landscape"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31DC-116A-487C-9D22-3BA2CCCDEB84}">
  <dimension ref="A1:T1013"/>
  <sheetViews>
    <sheetView workbookViewId="0">
      <selection activeCell="K10" sqref="K10:L14"/>
    </sheetView>
  </sheetViews>
  <sheetFormatPr defaultColWidth="14.42578125" defaultRowHeight="15" customHeight="1"/>
  <cols>
    <col min="1" max="9" width="12.140625" style="384" customWidth="1"/>
    <col min="10" max="10" width="15.140625" style="384" customWidth="1"/>
    <col min="11" max="11" width="19.42578125" style="384" customWidth="1"/>
    <col min="12" max="12" width="17.85546875" style="384" customWidth="1"/>
    <col min="13" max="13" width="19.7109375" style="384" customWidth="1"/>
    <col min="14" max="14" width="16.5703125" style="384" customWidth="1"/>
    <col min="15" max="16" width="12.140625" style="384" customWidth="1"/>
    <col min="17" max="17" width="8.85546875" style="384" customWidth="1"/>
    <col min="18" max="18" width="12.140625" style="384" customWidth="1"/>
    <col min="19" max="19" width="27.7109375" style="384" customWidth="1"/>
    <col min="20" max="26" width="12.140625" style="384" customWidth="1"/>
    <col min="27" max="16384" width="14.42578125" style="384"/>
  </cols>
  <sheetData>
    <row r="1" spans="1:20" ht="14.25" customHeight="1"/>
    <row r="2" spans="1:20" ht="14.25" customHeight="1" thickBot="1"/>
    <row r="3" spans="1:20" ht="14.25" customHeight="1" thickBot="1">
      <c r="I3" s="422" t="s">
        <v>103</v>
      </c>
      <c r="J3" s="423" t="s">
        <v>606</v>
      </c>
      <c r="K3" s="423"/>
      <c r="L3" s="1696" t="s">
        <v>607</v>
      </c>
      <c r="M3" s="1697"/>
      <c r="N3" s="424">
        <v>0.57999999999999996</v>
      </c>
    </row>
    <row r="4" spans="1:20" ht="14.25" customHeight="1" thickBot="1">
      <c r="A4" s="533" t="s">
        <v>687</v>
      </c>
      <c r="B4" s="534"/>
      <c r="C4" s="534"/>
      <c r="D4" s="534"/>
      <c r="E4" s="534"/>
      <c r="F4" s="534"/>
      <c r="I4" s="423"/>
      <c r="J4" s="423"/>
      <c r="K4" s="423"/>
      <c r="L4" s="1688" t="s">
        <v>608</v>
      </c>
      <c r="M4" s="1689"/>
      <c r="N4" s="425">
        <v>180</v>
      </c>
    </row>
    <row r="5" spans="1:20" ht="14.25" customHeight="1" thickBot="1">
      <c r="A5" s="534" t="s">
        <v>688</v>
      </c>
      <c r="B5" s="534"/>
      <c r="C5" s="534"/>
      <c r="D5" s="534"/>
      <c r="E5" s="534"/>
      <c r="F5" s="534"/>
      <c r="I5" s="426" t="s">
        <v>609</v>
      </c>
      <c r="J5" s="427">
        <f>(4500000/1.2)*0.3</f>
        <v>1125000</v>
      </c>
      <c r="K5" s="423"/>
      <c r="L5" s="1688" t="s">
        <v>610</v>
      </c>
      <c r="M5" s="1689"/>
      <c r="N5" s="425">
        <v>360</v>
      </c>
      <c r="O5" s="384" t="s">
        <v>611</v>
      </c>
    </row>
    <row r="6" spans="1:20" ht="14.25" customHeight="1" thickBot="1">
      <c r="A6" s="534" t="s">
        <v>689</v>
      </c>
      <c r="B6" s="534"/>
      <c r="C6" s="534" t="s">
        <v>690</v>
      </c>
      <c r="D6" s="534"/>
      <c r="E6" s="534"/>
      <c r="F6" s="534"/>
      <c r="I6" s="428" t="s">
        <v>102</v>
      </c>
      <c r="J6" s="429">
        <f>N7</f>
        <v>0.66410000000000013</v>
      </c>
      <c r="K6" s="423"/>
      <c r="L6" s="1688" t="s">
        <v>612</v>
      </c>
      <c r="M6" s="1689"/>
      <c r="N6" s="425">
        <v>360</v>
      </c>
      <c r="R6" s="1700" t="s">
        <v>613</v>
      </c>
      <c r="S6" s="1701"/>
      <c r="T6" s="1702"/>
    </row>
    <row r="7" spans="1:20" ht="14.25" customHeight="1" thickBot="1">
      <c r="A7" s="534"/>
      <c r="B7" s="534"/>
      <c r="C7" s="534" t="s">
        <v>691</v>
      </c>
      <c r="D7" s="534"/>
      <c r="E7" s="534"/>
      <c r="F7" s="534"/>
      <c r="I7" s="430" t="s">
        <v>614</v>
      </c>
      <c r="J7" s="431">
        <v>5</v>
      </c>
      <c r="K7" s="423" t="s">
        <v>615</v>
      </c>
      <c r="L7" s="1690" t="s">
        <v>616</v>
      </c>
      <c r="M7" s="1691"/>
      <c r="N7" s="432">
        <v>0.66410000000000013</v>
      </c>
      <c r="R7" s="1742" t="s">
        <v>484</v>
      </c>
      <c r="S7" s="1743"/>
      <c r="T7" s="535">
        <v>7.0000000000000007E-2</v>
      </c>
    </row>
    <row r="8" spans="1:20" ht="14.25" customHeight="1" thickBot="1">
      <c r="A8" s="534"/>
      <c r="B8" s="534"/>
      <c r="C8" s="534" t="s">
        <v>692</v>
      </c>
      <c r="D8" s="534"/>
      <c r="E8" s="534"/>
      <c r="F8" s="534"/>
      <c r="I8" s="423"/>
      <c r="J8" s="423"/>
      <c r="K8" s="423"/>
      <c r="L8" s="423"/>
      <c r="M8" s="423"/>
      <c r="N8" s="423"/>
      <c r="R8" s="1742" t="s">
        <v>617</v>
      </c>
      <c r="S8" s="1743"/>
      <c r="T8" s="536">
        <v>60</v>
      </c>
    </row>
    <row r="9" spans="1:20" ht="14.25" customHeight="1">
      <c r="I9" s="435" t="s">
        <v>427</v>
      </c>
      <c r="J9" s="436" t="s">
        <v>428</v>
      </c>
      <c r="K9" s="436" t="s">
        <v>102</v>
      </c>
      <c r="L9" s="436" t="s">
        <v>107</v>
      </c>
      <c r="M9" s="436" t="s">
        <v>109</v>
      </c>
      <c r="N9" s="437" t="s">
        <v>429</v>
      </c>
      <c r="R9" s="1742" t="s">
        <v>618</v>
      </c>
      <c r="S9" s="1743"/>
      <c r="T9" s="536">
        <v>360</v>
      </c>
    </row>
    <row r="10" spans="1:20" ht="14.25" customHeight="1" thickBot="1">
      <c r="I10" s="438">
        <v>1</v>
      </c>
      <c r="J10" s="439">
        <f>J5</f>
        <v>1125000</v>
      </c>
      <c r="K10" s="439">
        <f t="shared" ref="K10:K19" si="0">J10*$J$6</f>
        <v>747112.50000000012</v>
      </c>
      <c r="L10" s="439">
        <f t="shared" ref="L10:L19" si="1">M10-K10</f>
        <v>63522.605699160835</v>
      </c>
      <c r="M10" s="439">
        <f>J5*J6/(1-(1+J6)^-J7)</f>
        <v>810635.10569916095</v>
      </c>
      <c r="N10" s="440">
        <f t="shared" ref="N10:N19" si="2">J10-L10</f>
        <v>1061477.3943008392</v>
      </c>
      <c r="R10" s="1694" t="s">
        <v>619</v>
      </c>
      <c r="S10" s="1695"/>
      <c r="T10" s="441">
        <f>(1+T7)^(T9/T8)-1</f>
        <v>0.50073035184900005</v>
      </c>
    </row>
    <row r="11" spans="1:20" ht="14.25" customHeight="1">
      <c r="I11" s="438">
        <v>2</v>
      </c>
      <c r="J11" s="439">
        <f t="shared" ref="J11:J19" si="3">N10</f>
        <v>1061477.3943008392</v>
      </c>
      <c r="K11" s="439">
        <f t="shared" si="0"/>
        <v>704927.13755518745</v>
      </c>
      <c r="L11" s="439">
        <f t="shared" si="1"/>
        <v>105707.9681439735</v>
      </c>
      <c r="M11" s="439">
        <f t="shared" ref="M11:M19" si="4">+M10</f>
        <v>810635.10569916095</v>
      </c>
      <c r="N11" s="440">
        <f t="shared" si="2"/>
        <v>955769.42615686567</v>
      </c>
    </row>
    <row r="12" spans="1:20" ht="14.25" customHeight="1">
      <c r="A12" s="537" t="s">
        <v>386</v>
      </c>
      <c r="B12" s="538"/>
      <c r="C12" s="538"/>
      <c r="D12" s="538"/>
      <c r="E12" s="538"/>
      <c r="F12" s="538"/>
      <c r="I12" s="438">
        <v>3</v>
      </c>
      <c r="J12" s="439">
        <f t="shared" si="3"/>
        <v>955769.42615686567</v>
      </c>
      <c r="K12" s="439">
        <f t="shared" si="0"/>
        <v>634726.47591077466</v>
      </c>
      <c r="L12" s="439">
        <f t="shared" si="1"/>
        <v>175908.62978838629</v>
      </c>
      <c r="M12" s="439">
        <f t="shared" si="4"/>
        <v>810635.10569916095</v>
      </c>
      <c r="N12" s="440">
        <f t="shared" si="2"/>
        <v>779860.79636847938</v>
      </c>
    </row>
    <row r="13" spans="1:20" ht="14.25" customHeight="1">
      <c r="A13" s="538" t="s">
        <v>693</v>
      </c>
      <c r="B13" s="538"/>
      <c r="C13" s="538"/>
      <c r="D13" s="538" t="s">
        <v>694</v>
      </c>
      <c r="E13" s="538"/>
      <c r="F13" s="538"/>
      <c r="I13" s="438">
        <v>4</v>
      </c>
      <c r="J13" s="439">
        <f t="shared" si="3"/>
        <v>779860.79636847938</v>
      </c>
      <c r="K13" s="439">
        <f t="shared" si="0"/>
        <v>517905.55486830726</v>
      </c>
      <c r="L13" s="439">
        <f t="shared" si="1"/>
        <v>292729.5508308537</v>
      </c>
      <c r="M13" s="439">
        <f t="shared" si="4"/>
        <v>810635.10569916095</v>
      </c>
      <c r="N13" s="440">
        <f t="shared" si="2"/>
        <v>487131.24553762568</v>
      </c>
    </row>
    <row r="14" spans="1:20" ht="14.25" customHeight="1">
      <c r="A14" s="538" t="s">
        <v>695</v>
      </c>
      <c r="B14" s="538"/>
      <c r="C14" s="538"/>
      <c r="D14" s="538" t="s">
        <v>696</v>
      </c>
      <c r="E14" s="538"/>
      <c r="F14" s="538"/>
      <c r="I14" s="438">
        <v>5</v>
      </c>
      <c r="J14" s="439">
        <f t="shared" si="3"/>
        <v>487131.24553762568</v>
      </c>
      <c r="K14" s="439">
        <f t="shared" si="0"/>
        <v>323503.8601615373</v>
      </c>
      <c r="L14" s="439">
        <f t="shared" si="1"/>
        <v>487131.24553762365</v>
      </c>
      <c r="M14" s="439">
        <f t="shared" si="4"/>
        <v>810635.10569916095</v>
      </c>
      <c r="N14" s="440">
        <f t="shared" si="2"/>
        <v>2.0372681319713593E-9</v>
      </c>
    </row>
    <row r="15" spans="1:20" ht="14.25" customHeight="1">
      <c r="A15" s="538" t="s">
        <v>697</v>
      </c>
      <c r="B15" s="538"/>
      <c r="C15" s="538"/>
      <c r="D15" s="538" t="s">
        <v>698</v>
      </c>
      <c r="E15" s="538"/>
      <c r="F15" s="538"/>
      <c r="I15" s="438">
        <v>6</v>
      </c>
      <c r="J15" s="439">
        <f t="shared" si="3"/>
        <v>2.0372681319713593E-9</v>
      </c>
      <c r="K15" s="439">
        <f t="shared" si="0"/>
        <v>1.3529497664421799E-9</v>
      </c>
      <c r="L15" s="439">
        <f t="shared" si="1"/>
        <v>810635.10569915955</v>
      </c>
      <c r="M15" s="439">
        <f t="shared" si="4"/>
        <v>810635.10569916095</v>
      </c>
      <c r="N15" s="440">
        <f t="shared" si="2"/>
        <v>-810635.10569915758</v>
      </c>
    </row>
    <row r="16" spans="1:20" ht="14.25" customHeight="1">
      <c r="A16" s="538"/>
      <c r="B16" s="538"/>
      <c r="C16" s="538"/>
      <c r="D16" s="538"/>
      <c r="E16" s="538"/>
      <c r="F16" s="538"/>
      <c r="I16" s="438">
        <v>7</v>
      </c>
      <c r="J16" s="439">
        <f t="shared" si="3"/>
        <v>-810635.10569915758</v>
      </c>
      <c r="K16" s="439">
        <f t="shared" si="0"/>
        <v>-538342.77369481069</v>
      </c>
      <c r="L16" s="439">
        <f t="shared" si="1"/>
        <v>1348977.8793939715</v>
      </c>
      <c r="M16" s="439">
        <f t="shared" si="4"/>
        <v>810635.10569916095</v>
      </c>
      <c r="N16" s="440">
        <f t="shared" si="2"/>
        <v>-2159612.9850931289</v>
      </c>
    </row>
    <row r="17" spans="1:14" ht="14.25" customHeight="1">
      <c r="A17" s="538"/>
      <c r="B17" s="538"/>
      <c r="C17" s="538"/>
      <c r="D17" s="538"/>
      <c r="E17" s="538"/>
      <c r="F17" s="538"/>
      <c r="I17" s="438">
        <v>8</v>
      </c>
      <c r="J17" s="439">
        <f t="shared" si="3"/>
        <v>-2159612.9850931289</v>
      </c>
      <c r="K17" s="439">
        <f t="shared" si="0"/>
        <v>-1434198.9834003472</v>
      </c>
      <c r="L17" s="439">
        <f t="shared" si="1"/>
        <v>2244834.0890995082</v>
      </c>
      <c r="M17" s="439">
        <f t="shared" si="4"/>
        <v>810635.10569916095</v>
      </c>
      <c r="N17" s="440">
        <f t="shared" si="2"/>
        <v>-4404447.0741926376</v>
      </c>
    </row>
    <row r="18" spans="1:14" ht="14.25" customHeight="1">
      <c r="A18" s="538"/>
      <c r="B18" s="538"/>
      <c r="C18" s="538"/>
      <c r="D18" s="538"/>
      <c r="E18" s="538"/>
      <c r="F18" s="538"/>
      <c r="I18" s="438">
        <v>9</v>
      </c>
      <c r="J18" s="439">
        <f t="shared" si="3"/>
        <v>-4404447.0741926376</v>
      </c>
      <c r="K18" s="439">
        <f t="shared" si="0"/>
        <v>-2924993.3019713312</v>
      </c>
      <c r="L18" s="439">
        <f t="shared" si="1"/>
        <v>3735628.4076704923</v>
      </c>
      <c r="M18" s="439">
        <f t="shared" si="4"/>
        <v>810635.10569916095</v>
      </c>
      <c r="N18" s="440">
        <f t="shared" si="2"/>
        <v>-8140075.4818631299</v>
      </c>
    </row>
    <row r="19" spans="1:14" ht="14.25" customHeight="1">
      <c r="A19" s="538"/>
      <c r="B19" s="538"/>
      <c r="C19" s="538"/>
      <c r="D19" s="538"/>
      <c r="E19" s="538"/>
      <c r="F19" s="538"/>
      <c r="I19" s="438">
        <v>10</v>
      </c>
      <c r="J19" s="439">
        <f t="shared" si="3"/>
        <v>-8140075.4818631299</v>
      </c>
      <c r="K19" s="439">
        <f t="shared" si="0"/>
        <v>-5405824.1275053052</v>
      </c>
      <c r="L19" s="439">
        <f t="shared" si="1"/>
        <v>6216459.2332044663</v>
      </c>
      <c r="M19" s="439">
        <f t="shared" si="4"/>
        <v>810635.10569916095</v>
      </c>
      <c r="N19" s="440">
        <f t="shared" si="2"/>
        <v>-14356534.715067595</v>
      </c>
    </row>
    <row r="20" spans="1:14" ht="14.25" customHeight="1" thickBot="1">
      <c r="A20" s="538"/>
      <c r="B20" s="538"/>
      <c r="C20" s="538"/>
      <c r="D20" s="538"/>
      <c r="E20" s="538"/>
      <c r="F20" s="538"/>
      <c r="I20" s="443" t="s">
        <v>621</v>
      </c>
      <c r="J20" s="444"/>
      <c r="K20" s="444">
        <f>SUM(K10:K12)</f>
        <v>2086766.1134659622</v>
      </c>
      <c r="L20" s="444">
        <f>SUM(L10:L12)</f>
        <v>345139.20363152062</v>
      </c>
      <c r="M20" s="444">
        <f>SUM(M10:M13)</f>
        <v>3242540.4227966438</v>
      </c>
      <c r="N20" s="445"/>
    </row>
    <row r="21" spans="1:14" ht="14.25" customHeight="1" thickBot="1">
      <c r="A21" s="538"/>
      <c r="B21" s="538"/>
      <c r="C21" s="538"/>
      <c r="D21" s="538"/>
      <c r="E21" s="538"/>
      <c r="F21" s="538"/>
    </row>
    <row r="22" spans="1:14" ht="14.25" customHeight="1" thickBot="1">
      <c r="I22" s="422" t="s">
        <v>108</v>
      </c>
      <c r="J22" s="423" t="s">
        <v>1013</v>
      </c>
      <c r="K22" s="423"/>
      <c r="L22" s="1696" t="s">
        <v>607</v>
      </c>
      <c r="M22" s="1697"/>
      <c r="N22" s="424">
        <v>0.13</v>
      </c>
    </row>
    <row r="23" spans="1:14" ht="14.25" customHeight="1" thickBot="1">
      <c r="I23" s="423"/>
      <c r="J23" s="423"/>
      <c r="K23" s="423"/>
      <c r="L23" s="1688" t="s">
        <v>608</v>
      </c>
      <c r="M23" s="1689"/>
      <c r="N23" s="425">
        <v>360</v>
      </c>
    </row>
    <row r="24" spans="1:14" ht="14.25" customHeight="1">
      <c r="I24" s="426" t="s">
        <v>609</v>
      </c>
      <c r="J24" s="427">
        <v>3500000</v>
      </c>
      <c r="K24" s="423"/>
      <c r="L24" s="1688" t="s">
        <v>610</v>
      </c>
      <c r="M24" s="1689"/>
      <c r="N24" s="425">
        <v>360</v>
      </c>
    </row>
    <row r="25" spans="1:14" ht="14.25" customHeight="1">
      <c r="I25" s="428" t="s">
        <v>102</v>
      </c>
      <c r="J25" s="429">
        <f>N26</f>
        <v>0.12999999999999989</v>
      </c>
      <c r="K25" s="423"/>
      <c r="L25" s="1688" t="s">
        <v>612</v>
      </c>
      <c r="M25" s="1689"/>
      <c r="N25" s="425">
        <v>360</v>
      </c>
    </row>
    <row r="26" spans="1:14" ht="14.25" customHeight="1" thickBot="1">
      <c r="A26" s="539" t="s">
        <v>699</v>
      </c>
      <c r="I26" s="430" t="s">
        <v>614</v>
      </c>
      <c r="J26" s="431">
        <v>10</v>
      </c>
      <c r="K26" s="423"/>
      <c r="L26" s="1690" t="s">
        <v>616</v>
      </c>
      <c r="M26" s="1691"/>
      <c r="N26" s="432">
        <f>((1+N22*N23/N25)^(N24/N23))-1</f>
        <v>0.12999999999999989</v>
      </c>
    </row>
    <row r="27" spans="1:14" ht="14.25" customHeight="1" thickBot="1">
      <c r="A27" s="540"/>
      <c r="I27" s="423"/>
      <c r="J27" s="423"/>
      <c r="K27" s="423"/>
      <c r="L27" s="423"/>
      <c r="M27" s="423"/>
      <c r="N27" s="423"/>
    </row>
    <row r="28" spans="1:14" ht="14.25" customHeight="1">
      <c r="I28" s="435" t="s">
        <v>427</v>
      </c>
      <c r="J28" s="436" t="s">
        <v>428</v>
      </c>
      <c r="K28" s="436" t="s">
        <v>102</v>
      </c>
      <c r="L28" s="436" t="s">
        <v>107</v>
      </c>
      <c r="M28" s="436" t="s">
        <v>109</v>
      </c>
      <c r="N28" s="437" t="s">
        <v>429</v>
      </c>
    </row>
    <row r="29" spans="1:14" ht="14.25" customHeight="1">
      <c r="A29" s="452" t="s">
        <v>0</v>
      </c>
      <c r="B29" s="541">
        <v>0.12</v>
      </c>
      <c r="I29" s="438">
        <v>1</v>
      </c>
      <c r="J29" s="439">
        <f>J24</f>
        <v>3500000</v>
      </c>
      <c r="K29" s="439">
        <f t="shared" ref="K29:K38" si="5">J29*$J$25</f>
        <v>454999.99999999965</v>
      </c>
      <c r="L29" s="439">
        <f>J29/$J$26</f>
        <v>350000</v>
      </c>
      <c r="M29" s="439">
        <f t="shared" ref="M29:M38" si="6">K29+L29</f>
        <v>804999.99999999965</v>
      </c>
      <c r="N29" s="440">
        <f t="shared" ref="N29:N38" si="7">J29-L29</f>
        <v>3150000</v>
      </c>
    </row>
    <row r="30" spans="1:14" ht="14.25" customHeight="1">
      <c r="A30" s="452" t="s">
        <v>700</v>
      </c>
      <c r="B30" s="542">
        <v>360</v>
      </c>
      <c r="I30" s="438">
        <v>2</v>
      </c>
      <c r="J30" s="439">
        <f t="shared" ref="J30:J38" si="8">N29</f>
        <v>3150000</v>
      </c>
      <c r="K30" s="439">
        <f t="shared" si="5"/>
        <v>409499.99999999965</v>
      </c>
      <c r="L30" s="439">
        <f t="shared" ref="L30:L38" si="9">L29</f>
        <v>350000</v>
      </c>
      <c r="M30" s="439">
        <f t="shared" si="6"/>
        <v>759499.99999999965</v>
      </c>
      <c r="N30" s="440">
        <f t="shared" si="7"/>
        <v>2800000</v>
      </c>
    </row>
    <row r="31" spans="1:14" ht="14.25" customHeight="1">
      <c r="A31" s="543" t="s">
        <v>701</v>
      </c>
      <c r="B31" s="542">
        <v>60</v>
      </c>
      <c r="C31" s="384" t="s">
        <v>702</v>
      </c>
      <c r="I31" s="438">
        <v>3</v>
      </c>
      <c r="J31" s="439">
        <f t="shared" si="8"/>
        <v>2800000</v>
      </c>
      <c r="K31" s="439">
        <f t="shared" si="5"/>
        <v>363999.99999999971</v>
      </c>
      <c r="L31" s="439">
        <f t="shared" si="9"/>
        <v>350000</v>
      </c>
      <c r="M31" s="439">
        <f t="shared" si="6"/>
        <v>713999.99999999977</v>
      </c>
      <c r="N31" s="440">
        <f t="shared" si="7"/>
        <v>2450000</v>
      </c>
    </row>
    <row r="32" spans="1:14" ht="14.25" customHeight="1">
      <c r="A32" s="543"/>
      <c r="B32" s="543"/>
      <c r="I32" s="438">
        <v>4</v>
      </c>
      <c r="J32" s="439">
        <f t="shared" si="8"/>
        <v>2450000</v>
      </c>
      <c r="K32" s="439">
        <f t="shared" si="5"/>
        <v>318499.99999999977</v>
      </c>
      <c r="L32" s="439">
        <f t="shared" si="9"/>
        <v>350000</v>
      </c>
      <c r="M32" s="439">
        <f t="shared" si="6"/>
        <v>668499.99999999977</v>
      </c>
      <c r="N32" s="440">
        <f t="shared" si="7"/>
        <v>2100000</v>
      </c>
    </row>
    <row r="33" spans="1:15" ht="14.25" customHeight="1">
      <c r="A33" s="452" t="s">
        <v>703</v>
      </c>
      <c r="B33" s="544">
        <f>(1+B29*B31/B30)^(B34/B31)-1</f>
        <v>0.12616241926400007</v>
      </c>
      <c r="I33" s="438">
        <v>5</v>
      </c>
      <c r="J33" s="439">
        <f t="shared" si="8"/>
        <v>2100000</v>
      </c>
      <c r="K33" s="439">
        <f t="shared" si="5"/>
        <v>272999.99999999977</v>
      </c>
      <c r="L33" s="439">
        <f t="shared" si="9"/>
        <v>350000</v>
      </c>
      <c r="M33" s="439">
        <f t="shared" si="6"/>
        <v>622999.99999999977</v>
      </c>
      <c r="N33" s="440">
        <f t="shared" si="7"/>
        <v>1750000</v>
      </c>
    </row>
    <row r="34" spans="1:15" ht="14.25" customHeight="1">
      <c r="A34" s="452" t="s">
        <v>700</v>
      </c>
      <c r="B34" s="542">
        <v>360</v>
      </c>
      <c r="I34" s="438">
        <v>6</v>
      </c>
      <c r="J34" s="439">
        <f t="shared" si="8"/>
        <v>1750000</v>
      </c>
      <c r="K34" s="439">
        <f t="shared" si="5"/>
        <v>227499.99999999983</v>
      </c>
      <c r="L34" s="439">
        <f t="shared" si="9"/>
        <v>350000</v>
      </c>
      <c r="M34" s="439">
        <f t="shared" si="6"/>
        <v>577499.99999999977</v>
      </c>
      <c r="N34" s="440">
        <f t="shared" si="7"/>
        <v>1400000</v>
      </c>
    </row>
    <row r="35" spans="1:15" ht="14.25" customHeight="1">
      <c r="I35" s="438">
        <v>7</v>
      </c>
      <c r="J35" s="439">
        <f t="shared" si="8"/>
        <v>1400000</v>
      </c>
      <c r="K35" s="439">
        <f t="shared" si="5"/>
        <v>181999.99999999985</v>
      </c>
      <c r="L35" s="439">
        <f t="shared" si="9"/>
        <v>350000</v>
      </c>
      <c r="M35" s="439">
        <f t="shared" si="6"/>
        <v>531999.99999999988</v>
      </c>
      <c r="N35" s="440">
        <f t="shared" si="7"/>
        <v>1050000</v>
      </c>
    </row>
    <row r="36" spans="1:15" ht="14.25" customHeight="1">
      <c r="I36" s="438">
        <v>8</v>
      </c>
      <c r="J36" s="439">
        <f t="shared" si="8"/>
        <v>1050000</v>
      </c>
      <c r="K36" s="439">
        <f t="shared" si="5"/>
        <v>136499.99999999988</v>
      </c>
      <c r="L36" s="439">
        <f t="shared" si="9"/>
        <v>350000</v>
      </c>
      <c r="M36" s="439">
        <f t="shared" si="6"/>
        <v>486499.99999999988</v>
      </c>
      <c r="N36" s="440">
        <f t="shared" si="7"/>
        <v>700000</v>
      </c>
    </row>
    <row r="37" spans="1:15" ht="14.25" customHeight="1">
      <c r="I37" s="438">
        <v>9</v>
      </c>
      <c r="J37" s="439">
        <f t="shared" si="8"/>
        <v>700000</v>
      </c>
      <c r="K37" s="439">
        <f t="shared" si="5"/>
        <v>90999.999999999927</v>
      </c>
      <c r="L37" s="439">
        <f t="shared" si="9"/>
        <v>350000</v>
      </c>
      <c r="M37" s="439">
        <f t="shared" si="6"/>
        <v>440999.99999999994</v>
      </c>
      <c r="N37" s="440">
        <f t="shared" si="7"/>
        <v>350000</v>
      </c>
    </row>
    <row r="38" spans="1:15" ht="14.25" customHeight="1">
      <c r="I38" s="438">
        <v>10</v>
      </c>
      <c r="J38" s="439">
        <f t="shared" si="8"/>
        <v>350000</v>
      </c>
      <c r="K38" s="439">
        <f t="shared" si="5"/>
        <v>45499.999999999964</v>
      </c>
      <c r="L38" s="439">
        <f t="shared" si="9"/>
        <v>350000</v>
      </c>
      <c r="M38" s="439">
        <f t="shared" si="6"/>
        <v>395499.99999999994</v>
      </c>
      <c r="N38" s="440">
        <f t="shared" si="7"/>
        <v>0</v>
      </c>
    </row>
    <row r="39" spans="1:15" ht="14.25" customHeight="1" thickBot="1">
      <c r="I39" s="882" t="s">
        <v>621</v>
      </c>
      <c r="J39" s="444"/>
      <c r="K39" s="444">
        <f>SUM(K29:K32)</f>
        <v>1546999.9999999988</v>
      </c>
      <c r="L39" s="444">
        <f>SUM(L29:L32)</f>
        <v>1400000</v>
      </c>
      <c r="M39" s="444">
        <f>SUM(M29:M32)</f>
        <v>2946999.9999999991</v>
      </c>
      <c r="N39" s="445"/>
    </row>
    <row r="40" spans="1:15" ht="14.25" customHeight="1" thickBot="1"/>
    <row r="41" spans="1:15" ht="14.25" customHeight="1" thickBot="1">
      <c r="I41" s="422" t="s">
        <v>36</v>
      </c>
      <c r="J41" s="423" t="s">
        <v>1012</v>
      </c>
      <c r="K41" s="423"/>
      <c r="L41" s="1696" t="s">
        <v>607</v>
      </c>
      <c r="M41" s="1697"/>
      <c r="N41" s="424">
        <v>0.57999999999999996</v>
      </c>
    </row>
    <row r="42" spans="1:15" ht="14.25" customHeight="1" thickBot="1">
      <c r="I42" s="423"/>
      <c r="J42" s="423"/>
      <c r="K42" s="423"/>
      <c r="L42" s="1688" t="s">
        <v>608</v>
      </c>
      <c r="M42" s="1689"/>
      <c r="N42" s="425">
        <v>180</v>
      </c>
    </row>
    <row r="43" spans="1:15" ht="14.25" customHeight="1">
      <c r="A43" s="423"/>
      <c r="B43" s="545"/>
      <c r="I43" s="426" t="s">
        <v>609</v>
      </c>
      <c r="J43" s="427">
        <v>1950000</v>
      </c>
      <c r="K43" s="423"/>
      <c r="L43" s="1688" t="s">
        <v>610</v>
      </c>
      <c r="M43" s="1689"/>
      <c r="N43" s="425">
        <v>360</v>
      </c>
    </row>
    <row r="44" spans="1:15" ht="14.25" customHeight="1">
      <c r="A44" s="423"/>
      <c r="B44" s="423"/>
      <c r="I44" s="428" t="s">
        <v>102</v>
      </c>
      <c r="J44" s="429">
        <f>N45</f>
        <v>0.66410000000000013</v>
      </c>
      <c r="K44" s="423"/>
      <c r="L44" s="1688" t="s">
        <v>612</v>
      </c>
      <c r="M44" s="1689"/>
      <c r="N44" s="425">
        <v>360</v>
      </c>
    </row>
    <row r="45" spans="1:15" ht="14.25" customHeight="1" thickBot="1">
      <c r="A45" s="423"/>
      <c r="B45" s="546"/>
      <c r="I45" s="430" t="s">
        <v>614</v>
      </c>
      <c r="J45" s="431">
        <v>5</v>
      </c>
      <c r="K45" s="423"/>
      <c r="L45" s="1690" t="s">
        <v>616</v>
      </c>
      <c r="M45" s="1691"/>
      <c r="N45" s="432">
        <f>((1+N41*N42/N44)^(N43/N42))-1</f>
        <v>0.66410000000000013</v>
      </c>
    </row>
    <row r="46" spans="1:15" ht="14.25" customHeight="1" thickBot="1">
      <c r="A46" s="423"/>
      <c r="B46" s="423"/>
      <c r="I46" s="423"/>
      <c r="J46" s="423"/>
      <c r="K46" s="423"/>
      <c r="L46" s="423"/>
      <c r="M46" s="423"/>
      <c r="N46" s="423"/>
    </row>
    <row r="47" spans="1:15" ht="14.25" customHeight="1">
      <c r="I47" s="881" t="s">
        <v>427</v>
      </c>
      <c r="J47" s="880" t="s">
        <v>428</v>
      </c>
      <c r="K47" s="880" t="s">
        <v>102</v>
      </c>
      <c r="L47" s="880" t="s">
        <v>107</v>
      </c>
      <c r="M47" s="880" t="s">
        <v>1016</v>
      </c>
      <c r="N47" s="879" t="s">
        <v>429</v>
      </c>
      <c r="O47" s="384" t="s">
        <v>1097</v>
      </c>
    </row>
    <row r="48" spans="1:15" ht="14.25" customHeight="1">
      <c r="I48" s="878">
        <v>1</v>
      </c>
      <c r="J48" s="874">
        <f>J43</f>
        <v>1950000</v>
      </c>
      <c r="K48" s="874">
        <f>J48*$J$44</f>
        <v>1294995.0000000002</v>
      </c>
      <c r="L48" s="874">
        <v>0</v>
      </c>
      <c r="M48" s="874">
        <f>$J$48*$J$44</f>
        <v>1294995.0000000002</v>
      </c>
      <c r="N48" s="877">
        <f>J48-L48</f>
        <v>1950000</v>
      </c>
    </row>
    <row r="49" spans="9:15" ht="14.25" customHeight="1">
      <c r="I49" s="878">
        <v>2</v>
      </c>
      <c r="J49" s="874">
        <f>N48</f>
        <v>1950000</v>
      </c>
      <c r="K49" s="874">
        <f>K48</f>
        <v>1294995.0000000002</v>
      </c>
      <c r="L49" s="874">
        <f>L48</f>
        <v>0</v>
      </c>
      <c r="M49" s="874">
        <f>$J$48*$J$44</f>
        <v>1294995.0000000002</v>
      </c>
      <c r="N49" s="877">
        <f>J49-L49</f>
        <v>1950000</v>
      </c>
    </row>
    <row r="50" spans="9:15" ht="14.25" customHeight="1" thickBot="1">
      <c r="I50" s="876">
        <v>3</v>
      </c>
      <c r="J50" s="875">
        <f>N49</f>
        <v>1950000</v>
      </c>
      <c r="K50" s="875">
        <f>K49</f>
        <v>1294995.0000000002</v>
      </c>
      <c r="L50" s="875">
        <v>0</v>
      </c>
      <c r="M50" s="874">
        <f>$J$48*$J$44</f>
        <v>1294995.0000000002</v>
      </c>
      <c r="N50" s="873">
        <f>J50-L50</f>
        <v>1950000</v>
      </c>
    </row>
    <row r="51" spans="9:15" ht="14.25" customHeight="1" thickBot="1">
      <c r="I51" s="876">
        <v>4</v>
      </c>
      <c r="J51" s="875">
        <f>N50</f>
        <v>1950000</v>
      </c>
      <c r="K51" s="875">
        <f>K50</f>
        <v>1294995.0000000002</v>
      </c>
      <c r="L51" s="875">
        <v>0</v>
      </c>
      <c r="M51" s="874">
        <f>$J$48*$J$44</f>
        <v>1294995.0000000002</v>
      </c>
      <c r="N51" s="873">
        <f>J51-L51</f>
        <v>1950000</v>
      </c>
    </row>
    <row r="52" spans="9:15" ht="14.25" customHeight="1" thickBot="1">
      <c r="I52" s="876">
        <v>5</v>
      </c>
      <c r="J52" s="875">
        <f>N51</f>
        <v>1950000</v>
      </c>
      <c r="K52" s="875">
        <f>K51</f>
        <v>1294995.0000000002</v>
      </c>
      <c r="L52" s="875">
        <f>J43</f>
        <v>1950000</v>
      </c>
      <c r="M52" s="874">
        <f>$J$48*$J$44+L52</f>
        <v>3244995</v>
      </c>
      <c r="N52" s="873">
        <f>J52-L52</f>
        <v>0</v>
      </c>
      <c r="O52" s="384" t="s">
        <v>1011</v>
      </c>
    </row>
    <row r="53" spans="9:15" ht="14.25" customHeight="1"/>
    <row r="54" spans="9:15" ht="14.25" customHeight="1"/>
    <row r="55" spans="9:15" ht="14.25" customHeight="1">
      <c r="K55" s="883" t="s">
        <v>1014</v>
      </c>
    </row>
    <row r="56" spans="9:15" ht="14.25" customHeight="1">
      <c r="I56" s="872"/>
      <c r="J56" s="872"/>
      <c r="K56" s="883" t="s">
        <v>1015</v>
      </c>
      <c r="L56" s="872"/>
      <c r="M56" s="872"/>
      <c r="N56" s="872"/>
    </row>
    <row r="57" spans="9:15" ht="14.25" customHeight="1">
      <c r="I57" s="872"/>
      <c r="J57" s="872"/>
      <c r="K57" s="872"/>
      <c r="L57" s="872"/>
      <c r="M57" s="872"/>
      <c r="N57" s="872"/>
    </row>
    <row r="58" spans="9:15" ht="14.25" customHeight="1">
      <c r="I58" s="872"/>
      <c r="J58" s="872"/>
      <c r="K58" s="872"/>
      <c r="L58" s="872"/>
      <c r="M58" s="872"/>
      <c r="N58" s="872"/>
    </row>
    <row r="59" spans="9:15" ht="14.25" customHeight="1">
      <c r="I59" s="872"/>
      <c r="J59" s="872"/>
      <c r="K59" s="872"/>
      <c r="L59" s="872"/>
      <c r="M59" s="872"/>
      <c r="N59" s="872"/>
    </row>
    <row r="60" spans="9:15" ht="14.25" customHeight="1">
      <c r="I60" s="872"/>
      <c r="J60" s="872"/>
      <c r="K60" s="872"/>
      <c r="L60" s="872"/>
      <c r="M60" s="872"/>
      <c r="N60" s="872"/>
    </row>
    <row r="61" spans="9:15" ht="14.25" customHeight="1">
      <c r="I61" s="872"/>
      <c r="J61" s="872"/>
      <c r="K61" s="872"/>
      <c r="L61" s="872"/>
      <c r="M61" s="872"/>
      <c r="N61" s="872"/>
    </row>
    <row r="62" spans="9:15" ht="14.25" customHeight="1"/>
    <row r="63" spans="9:15" ht="14.25" customHeight="1"/>
    <row r="64" spans="9:15" ht="14.25" customHeight="1"/>
    <row r="65" s="384" customFormat="1" ht="14.25" customHeight="1"/>
    <row r="66" s="384" customFormat="1" ht="14.25" customHeight="1"/>
    <row r="67" s="384" customFormat="1" ht="14.25" customHeight="1"/>
    <row r="68" s="384" customFormat="1" ht="14.25" customHeight="1"/>
    <row r="69" s="384" customFormat="1" ht="14.25" customHeight="1"/>
    <row r="70" s="384" customFormat="1" ht="14.25" customHeight="1"/>
    <row r="71" s="384" customFormat="1" ht="14.25" customHeight="1"/>
    <row r="72" s="384" customFormat="1" ht="14.25" customHeight="1"/>
    <row r="73" s="384" customFormat="1" ht="14.25" customHeight="1"/>
    <row r="74" s="384" customFormat="1" ht="14.25" customHeight="1"/>
    <row r="75" s="384" customFormat="1" ht="14.25" customHeight="1"/>
    <row r="76" s="384" customFormat="1" ht="14.25" customHeight="1"/>
    <row r="77" s="384" customFormat="1" ht="14.25" customHeight="1"/>
    <row r="78" s="384" customFormat="1" ht="14.25" customHeight="1"/>
    <row r="79" s="384" customFormat="1" ht="14.25" customHeight="1"/>
    <row r="80" s="384" customFormat="1" ht="14.25" customHeight="1"/>
    <row r="81" s="384" customFormat="1" ht="14.25" customHeight="1"/>
    <row r="82" s="384" customFormat="1" ht="14.25" customHeight="1"/>
    <row r="83" s="384" customFormat="1" ht="14.25" customHeight="1"/>
    <row r="84" s="384" customFormat="1" ht="14.25" customHeight="1"/>
    <row r="85" s="384" customFormat="1" ht="14.25" customHeight="1"/>
    <row r="86" s="384" customFormat="1" ht="14.25" customHeight="1"/>
    <row r="87" s="384" customFormat="1" ht="14.25" customHeight="1"/>
    <row r="88" s="384" customFormat="1" ht="14.25" customHeight="1"/>
    <row r="89" s="384" customFormat="1" ht="14.25" customHeight="1"/>
    <row r="90" s="384" customFormat="1" ht="14.25" customHeight="1"/>
    <row r="91" s="384" customFormat="1" ht="14.25" customHeight="1"/>
    <row r="92" s="384" customFormat="1" ht="14.25" customHeight="1"/>
    <row r="93" s="384" customFormat="1" ht="14.25" customHeight="1"/>
    <row r="94" s="384" customFormat="1" ht="14.25" customHeight="1"/>
    <row r="95" s="384" customFormat="1" ht="14.25" customHeight="1"/>
    <row r="96" s="384" customFormat="1" ht="14.25" customHeight="1"/>
    <row r="97" s="384" customFormat="1" ht="14.25" customHeight="1"/>
    <row r="98" s="384" customFormat="1" ht="14.25" customHeight="1"/>
    <row r="99" s="384" customFormat="1" ht="14.25" customHeight="1"/>
    <row r="100" s="384" customFormat="1" ht="14.25" customHeight="1"/>
    <row r="101" s="384" customFormat="1" ht="14.25" customHeight="1"/>
    <row r="102" s="384" customFormat="1" ht="14.25" customHeight="1"/>
    <row r="103" s="384" customFormat="1" ht="14.25" customHeight="1"/>
    <row r="104" s="384" customFormat="1" ht="14.25" customHeight="1"/>
    <row r="105" s="384" customFormat="1" ht="14.25" customHeight="1"/>
    <row r="106" s="384" customFormat="1" ht="14.25" customHeight="1"/>
    <row r="107" s="384" customFormat="1" ht="14.25" customHeight="1"/>
    <row r="108" s="384" customFormat="1" ht="14.25" customHeight="1"/>
    <row r="109" s="384" customFormat="1" ht="14.25" customHeight="1"/>
    <row r="110" s="384" customFormat="1" ht="14.25" customHeight="1"/>
    <row r="111" s="384" customFormat="1" ht="14.25" customHeight="1"/>
    <row r="112" s="384" customFormat="1" ht="14.25" customHeight="1"/>
    <row r="113" s="384" customFormat="1" ht="14.25" customHeight="1"/>
    <row r="114" s="384" customFormat="1" ht="14.25" customHeight="1"/>
    <row r="115" s="384" customFormat="1" ht="14.25" customHeight="1"/>
    <row r="116" s="384" customFormat="1" ht="14.25" customHeight="1"/>
    <row r="117" s="384" customFormat="1" ht="14.25" customHeight="1"/>
    <row r="118" s="384" customFormat="1" ht="14.25" customHeight="1"/>
    <row r="119" s="384" customFormat="1" ht="14.25" customHeight="1"/>
    <row r="120" s="384" customFormat="1" ht="14.25" customHeight="1"/>
    <row r="121" s="384" customFormat="1" ht="14.25" customHeight="1"/>
    <row r="122" s="384" customFormat="1" ht="14.25" customHeight="1"/>
    <row r="123" s="384" customFormat="1" ht="14.25" customHeight="1"/>
    <row r="124" s="384" customFormat="1" ht="14.25" customHeight="1"/>
    <row r="125" s="384" customFormat="1" ht="14.25" customHeight="1"/>
    <row r="126" s="384" customFormat="1" ht="14.25" customHeight="1"/>
    <row r="127" s="384" customFormat="1" ht="14.25" customHeight="1"/>
    <row r="128" s="384" customFormat="1" ht="14.25" customHeight="1"/>
    <row r="129" s="384" customFormat="1" ht="14.25" customHeight="1"/>
    <row r="130" s="384" customFormat="1" ht="14.25" customHeight="1"/>
    <row r="131" s="384" customFormat="1" ht="14.25" customHeight="1"/>
    <row r="132" s="384" customFormat="1" ht="14.25" customHeight="1"/>
    <row r="133" s="384" customFormat="1" ht="14.25" customHeight="1"/>
    <row r="134" s="384" customFormat="1" ht="14.25" customHeight="1"/>
    <row r="135" s="384" customFormat="1" ht="14.25" customHeight="1"/>
    <row r="136" s="384" customFormat="1" ht="14.25" customHeight="1"/>
    <row r="137" s="384" customFormat="1" ht="14.25" customHeight="1"/>
    <row r="138" s="384" customFormat="1" ht="14.25" customHeight="1"/>
    <row r="139" s="384" customFormat="1" ht="14.25" customHeight="1"/>
    <row r="140" s="384" customFormat="1" ht="14.25" customHeight="1"/>
    <row r="141" s="384" customFormat="1" ht="14.25" customHeight="1"/>
    <row r="142" s="384" customFormat="1" ht="14.25" customHeight="1"/>
    <row r="143" s="384" customFormat="1" ht="14.25" customHeight="1"/>
    <row r="144" s="384" customFormat="1" ht="14.25" customHeight="1"/>
    <row r="145" s="384" customFormat="1" ht="14.25" customHeight="1"/>
    <row r="146" s="384" customFormat="1" ht="14.25" customHeight="1"/>
    <row r="147" s="384" customFormat="1" ht="14.25" customHeight="1"/>
    <row r="148" s="384" customFormat="1" ht="14.25" customHeight="1"/>
    <row r="149" s="384" customFormat="1" ht="14.25" customHeight="1"/>
    <row r="150" s="384" customFormat="1" ht="14.25" customHeight="1"/>
    <row r="151" s="384" customFormat="1" ht="14.25" customHeight="1"/>
    <row r="152" s="384" customFormat="1" ht="14.25" customHeight="1"/>
    <row r="153" s="384" customFormat="1" ht="14.25" customHeight="1"/>
    <row r="154" s="384" customFormat="1" ht="14.25" customHeight="1"/>
    <row r="155" s="384" customFormat="1" ht="14.25" customHeight="1"/>
    <row r="156" s="384" customFormat="1" ht="14.25" customHeight="1"/>
    <row r="157" s="384" customFormat="1" ht="14.25" customHeight="1"/>
    <row r="158" s="384" customFormat="1" ht="14.25" customHeight="1"/>
    <row r="159" s="384" customFormat="1" ht="14.25" customHeight="1"/>
    <row r="160" s="384" customFormat="1" ht="14.25" customHeight="1"/>
    <row r="161" s="384" customFormat="1" ht="14.25" customHeight="1"/>
    <row r="162" s="384" customFormat="1" ht="14.25" customHeight="1"/>
    <row r="163" s="384" customFormat="1" ht="14.25" customHeight="1"/>
    <row r="164" s="384" customFormat="1" ht="14.25" customHeight="1"/>
    <row r="165" s="384" customFormat="1" ht="14.25" customHeight="1"/>
    <row r="166" s="384" customFormat="1" ht="14.25" customHeight="1"/>
    <row r="167" s="384" customFormat="1" ht="14.25" customHeight="1"/>
    <row r="168" s="384" customFormat="1" ht="14.25" customHeight="1"/>
    <row r="169" s="384" customFormat="1" ht="14.25" customHeight="1"/>
    <row r="170" s="384" customFormat="1" ht="14.25" customHeight="1"/>
    <row r="171" s="384" customFormat="1" ht="14.25" customHeight="1"/>
    <row r="172" s="384" customFormat="1" ht="14.25" customHeight="1"/>
    <row r="173" s="384" customFormat="1" ht="14.25" customHeight="1"/>
    <row r="174" s="384" customFormat="1" ht="14.25" customHeight="1"/>
    <row r="175" s="384" customFormat="1" ht="14.25" customHeight="1"/>
    <row r="176" s="384" customFormat="1" ht="14.25" customHeight="1"/>
    <row r="177" s="384" customFormat="1" ht="14.25" customHeight="1"/>
    <row r="178" s="384" customFormat="1" ht="14.25" customHeight="1"/>
    <row r="179" s="384" customFormat="1" ht="14.25" customHeight="1"/>
    <row r="180" s="384" customFormat="1" ht="14.25" customHeight="1"/>
    <row r="181" s="384" customFormat="1" ht="14.25" customHeight="1"/>
    <row r="182" s="384" customFormat="1" ht="14.25" customHeight="1"/>
    <row r="183" s="384" customFormat="1" ht="14.25" customHeight="1"/>
    <row r="184" s="384" customFormat="1" ht="14.25" customHeight="1"/>
    <row r="185" s="384" customFormat="1" ht="14.25" customHeight="1"/>
    <row r="186" s="384" customFormat="1" ht="14.25" customHeight="1"/>
    <row r="187" s="384" customFormat="1" ht="14.25" customHeight="1"/>
    <row r="188" s="384" customFormat="1" ht="14.25" customHeight="1"/>
    <row r="189" s="384" customFormat="1" ht="14.25" customHeight="1"/>
    <row r="190" s="384" customFormat="1" ht="14.25" customHeight="1"/>
    <row r="191" s="384" customFormat="1" ht="14.25" customHeight="1"/>
    <row r="192" s="384" customFormat="1" ht="14.25" customHeight="1"/>
    <row r="193" s="384" customFormat="1" ht="14.25" customHeight="1"/>
    <row r="194" s="384" customFormat="1" ht="14.25" customHeight="1"/>
    <row r="195" s="384" customFormat="1" ht="14.25" customHeight="1"/>
    <row r="196" s="384" customFormat="1" ht="14.25" customHeight="1"/>
    <row r="197" s="384" customFormat="1" ht="14.25" customHeight="1"/>
    <row r="198" s="384" customFormat="1" ht="14.25" customHeight="1"/>
    <row r="199" s="384" customFormat="1" ht="14.25" customHeight="1"/>
    <row r="200" s="384" customFormat="1" ht="14.25" customHeight="1"/>
    <row r="201" s="384" customFormat="1" ht="14.25" customHeight="1"/>
    <row r="202" s="384" customFormat="1" ht="14.25" customHeight="1"/>
    <row r="203" s="384" customFormat="1" ht="14.25" customHeight="1"/>
    <row r="204" s="384" customFormat="1" ht="14.25" customHeight="1"/>
    <row r="205" s="384" customFormat="1" ht="14.25" customHeight="1"/>
    <row r="206" s="384" customFormat="1" ht="14.25" customHeight="1"/>
    <row r="207" s="384" customFormat="1" ht="14.25" customHeight="1"/>
    <row r="208" s="384" customFormat="1" ht="14.25" customHeight="1"/>
    <row r="209" s="384" customFormat="1" ht="14.25" customHeight="1"/>
    <row r="210" s="384" customFormat="1" ht="14.25" customHeight="1"/>
    <row r="211" s="384" customFormat="1" ht="14.25" customHeight="1"/>
    <row r="212" s="384" customFormat="1" ht="14.25" customHeight="1"/>
    <row r="213" s="384" customFormat="1" ht="14.25" customHeight="1"/>
    <row r="214" s="384" customFormat="1" ht="14.25" customHeight="1"/>
    <row r="215" s="384" customFormat="1" ht="14.25" customHeight="1"/>
    <row r="216" s="384" customFormat="1" ht="14.25" customHeight="1"/>
    <row r="217" s="384" customFormat="1" ht="14.25" customHeight="1"/>
    <row r="218" s="384" customFormat="1" ht="14.25" customHeight="1"/>
    <row r="219" s="384" customFormat="1" ht="14.25" customHeight="1"/>
    <row r="220" s="384" customFormat="1" ht="14.25" customHeight="1"/>
    <row r="221" s="384" customFormat="1" ht="14.25" customHeight="1"/>
    <row r="222" s="384" customFormat="1" ht="14.25" customHeight="1"/>
    <row r="223" s="384" customFormat="1" ht="14.25" customHeight="1"/>
    <row r="224" s="384" customFormat="1" ht="14.25" customHeight="1"/>
    <row r="225" s="384" customFormat="1" ht="14.25" customHeight="1"/>
    <row r="226" s="384" customFormat="1" ht="14.25" customHeight="1"/>
    <row r="227" s="384" customFormat="1" ht="14.25" customHeight="1"/>
    <row r="228" s="384" customFormat="1" ht="14.25" customHeight="1"/>
    <row r="229" s="384" customFormat="1" ht="14.25" customHeight="1"/>
    <row r="230" s="384" customFormat="1" ht="14.25" customHeight="1"/>
    <row r="231" s="384" customFormat="1" ht="14.25" customHeight="1"/>
    <row r="232" s="384" customFormat="1" ht="14.25" customHeight="1"/>
    <row r="233" s="384" customFormat="1" ht="14.25" customHeight="1"/>
    <row r="234" s="384" customFormat="1" ht="14.25" customHeight="1"/>
    <row r="235" s="384" customFormat="1" ht="14.25" customHeight="1"/>
    <row r="236" s="384" customFormat="1" ht="14.25" customHeight="1"/>
    <row r="237" s="384" customFormat="1" ht="14.25" customHeight="1"/>
    <row r="238" s="384" customFormat="1" ht="14.25" customHeight="1"/>
    <row r="239" s="384" customFormat="1" ht="14.25" customHeight="1"/>
    <row r="240" s="384" customFormat="1" ht="14.25" customHeight="1"/>
    <row r="241" s="384" customFormat="1" ht="14.25" customHeight="1"/>
    <row r="242" s="384" customFormat="1" ht="14.25" customHeight="1"/>
    <row r="243" s="384" customFormat="1" ht="14.25" customHeight="1"/>
    <row r="244" s="384" customFormat="1" ht="14.25" customHeight="1"/>
    <row r="245" s="384" customFormat="1" ht="14.25" customHeight="1"/>
    <row r="246" s="384" customFormat="1" ht="14.25" customHeight="1"/>
    <row r="247" s="384" customFormat="1" ht="14.25" customHeight="1"/>
    <row r="248" s="384" customFormat="1" ht="14.25" customHeight="1"/>
    <row r="249" s="384" customFormat="1" ht="14.25" customHeight="1"/>
    <row r="250" s="384" customFormat="1" ht="14.25" customHeight="1"/>
    <row r="251" s="384" customFormat="1" ht="14.25" customHeight="1"/>
    <row r="252" s="384" customFormat="1" ht="14.25" customHeight="1"/>
    <row r="253" s="384" customFormat="1" ht="14.25" customHeight="1"/>
    <row r="254" s="384" customFormat="1" ht="14.25" customHeight="1"/>
    <row r="255" s="384" customFormat="1" ht="14.25" customHeight="1"/>
    <row r="256" s="384" customFormat="1" ht="14.25" customHeight="1"/>
    <row r="257" s="384" customFormat="1" ht="14.25" customHeight="1"/>
    <row r="258" s="384" customFormat="1" ht="14.25" customHeight="1"/>
    <row r="259" s="384" customFormat="1" ht="14.25" customHeight="1"/>
    <row r="260" s="384" customFormat="1" ht="14.25" customHeight="1"/>
    <row r="261" s="384" customFormat="1" ht="14.25" customHeight="1"/>
    <row r="262" s="384" customFormat="1" ht="14.25" customHeight="1"/>
    <row r="263" s="384" customFormat="1" ht="14.25" customHeight="1"/>
    <row r="264" s="384" customFormat="1" ht="14.25" customHeight="1"/>
    <row r="265" s="384" customFormat="1" ht="14.25" customHeight="1"/>
    <row r="266" s="384" customFormat="1" ht="14.25" customHeight="1"/>
    <row r="267" s="384" customFormat="1" ht="14.25" customHeight="1"/>
    <row r="268" s="384" customFormat="1" ht="14.25" customHeight="1"/>
    <row r="269" s="384" customFormat="1" ht="14.25" customHeight="1"/>
    <row r="270" s="384" customFormat="1" ht="14.25" customHeight="1"/>
    <row r="271" s="384" customFormat="1" ht="14.25" customHeight="1"/>
    <row r="272" s="384" customFormat="1" ht="14.25" customHeight="1"/>
    <row r="273" s="384" customFormat="1" ht="14.25" customHeight="1"/>
    <row r="274" s="384" customFormat="1" ht="14.25" customHeight="1"/>
    <row r="275" s="384" customFormat="1" ht="14.25" customHeight="1"/>
    <row r="276" s="384" customFormat="1" ht="14.25" customHeight="1"/>
    <row r="277" s="384" customFormat="1" ht="14.25" customHeight="1"/>
    <row r="278" s="384" customFormat="1" ht="14.25" customHeight="1"/>
    <row r="279" s="384" customFormat="1" ht="14.25" customHeight="1"/>
    <row r="280" s="384" customFormat="1" ht="14.25" customHeight="1"/>
    <row r="281" s="384" customFormat="1" ht="14.25" customHeight="1"/>
    <row r="282" s="384" customFormat="1" ht="14.25" customHeight="1"/>
    <row r="283" s="384" customFormat="1" ht="14.25" customHeight="1"/>
    <row r="284" s="384" customFormat="1" ht="14.25" customHeight="1"/>
    <row r="285" s="384" customFormat="1" ht="14.25" customHeight="1"/>
    <row r="286" s="384" customFormat="1" ht="14.25" customHeight="1"/>
    <row r="287" s="384" customFormat="1" ht="14.25" customHeight="1"/>
    <row r="288" s="384" customFormat="1" ht="14.25" customHeight="1"/>
    <row r="289" s="384" customFormat="1" ht="14.25" customHeight="1"/>
    <row r="290" s="384" customFormat="1" ht="14.25" customHeight="1"/>
    <row r="291" s="384" customFormat="1" ht="14.25" customHeight="1"/>
    <row r="292" s="384" customFormat="1" ht="14.25" customHeight="1"/>
    <row r="293" s="384" customFormat="1" ht="14.25" customHeight="1"/>
    <row r="294" s="384" customFormat="1" ht="14.25" customHeight="1"/>
    <row r="295" s="384" customFormat="1" ht="14.25" customHeight="1"/>
    <row r="296" s="384" customFormat="1" ht="14.25" customHeight="1"/>
    <row r="297" s="384" customFormat="1" ht="14.25" customHeight="1"/>
    <row r="298" s="384" customFormat="1" ht="14.25" customHeight="1"/>
    <row r="299" s="384" customFormat="1" ht="14.25" customHeight="1"/>
    <row r="300" s="384" customFormat="1" ht="14.25" customHeight="1"/>
    <row r="301" s="384" customFormat="1" ht="14.25" customHeight="1"/>
    <row r="302" s="384" customFormat="1" ht="14.25" customHeight="1"/>
    <row r="303" s="384" customFormat="1" ht="14.25" customHeight="1"/>
    <row r="304" s="384" customFormat="1" ht="14.25" customHeight="1"/>
    <row r="305" s="384" customFormat="1" ht="14.25" customHeight="1"/>
    <row r="306" s="384" customFormat="1" ht="14.25" customHeight="1"/>
    <row r="307" s="384" customFormat="1" ht="14.25" customHeight="1"/>
    <row r="308" s="384" customFormat="1" ht="14.25" customHeight="1"/>
    <row r="309" s="384" customFormat="1" ht="14.25" customHeight="1"/>
    <row r="310" s="384" customFormat="1" ht="14.25" customHeight="1"/>
    <row r="311" s="384" customFormat="1" ht="14.25" customHeight="1"/>
    <row r="312" s="384" customFormat="1" ht="14.25" customHeight="1"/>
    <row r="313" s="384" customFormat="1" ht="14.25" customHeight="1"/>
    <row r="314" s="384" customFormat="1" ht="14.25" customHeight="1"/>
    <row r="315" s="384" customFormat="1" ht="14.25" customHeight="1"/>
    <row r="316" s="384" customFormat="1" ht="14.25" customHeight="1"/>
    <row r="317" s="384" customFormat="1" ht="14.25" customHeight="1"/>
    <row r="318" s="384" customFormat="1" ht="14.25" customHeight="1"/>
    <row r="319" s="384" customFormat="1" ht="14.25" customHeight="1"/>
    <row r="320" s="384" customFormat="1" ht="14.25" customHeight="1"/>
    <row r="321" s="384" customFormat="1" ht="14.25" customHeight="1"/>
    <row r="322" s="384" customFormat="1" ht="14.25" customHeight="1"/>
    <row r="323" s="384" customFormat="1" ht="14.25" customHeight="1"/>
    <row r="324" s="384" customFormat="1" ht="14.25" customHeight="1"/>
    <row r="325" s="384" customFormat="1" ht="14.25" customHeight="1"/>
    <row r="326" s="384" customFormat="1" ht="14.25" customHeight="1"/>
    <row r="327" s="384" customFormat="1" ht="14.25" customHeight="1"/>
    <row r="328" s="384" customFormat="1" ht="14.25" customHeight="1"/>
    <row r="329" s="384" customFormat="1" ht="14.25" customHeight="1"/>
    <row r="330" s="384" customFormat="1" ht="14.25" customHeight="1"/>
    <row r="331" s="384" customFormat="1" ht="14.25" customHeight="1"/>
    <row r="332" s="384" customFormat="1" ht="14.25" customHeight="1"/>
    <row r="333" s="384" customFormat="1" ht="14.25" customHeight="1"/>
    <row r="334" s="384" customFormat="1" ht="14.25" customHeight="1"/>
    <row r="335" s="384" customFormat="1" ht="14.25" customHeight="1"/>
    <row r="336" s="384" customFormat="1" ht="14.25" customHeight="1"/>
    <row r="337" s="384" customFormat="1" ht="14.25" customHeight="1"/>
    <row r="338" s="384" customFormat="1" ht="14.25" customHeight="1"/>
    <row r="339" s="384" customFormat="1" ht="14.25" customHeight="1"/>
    <row r="340" s="384" customFormat="1" ht="14.25" customHeight="1"/>
    <row r="341" s="384" customFormat="1" ht="14.25" customHeight="1"/>
    <row r="342" s="384" customFormat="1" ht="14.25" customHeight="1"/>
    <row r="343" s="384" customFormat="1" ht="14.25" customHeight="1"/>
    <row r="344" s="384" customFormat="1" ht="14.25" customHeight="1"/>
    <row r="345" s="384" customFormat="1" ht="14.25" customHeight="1"/>
    <row r="346" s="384" customFormat="1" ht="14.25" customHeight="1"/>
    <row r="347" s="384" customFormat="1" ht="14.25" customHeight="1"/>
    <row r="348" s="384" customFormat="1" ht="14.25" customHeight="1"/>
    <row r="349" s="384" customFormat="1" ht="14.25" customHeight="1"/>
    <row r="350" s="384" customFormat="1" ht="14.25" customHeight="1"/>
    <row r="351" s="384" customFormat="1" ht="14.25" customHeight="1"/>
    <row r="352" s="384" customFormat="1" ht="14.25" customHeight="1"/>
    <row r="353" s="384" customFormat="1" ht="14.25" customHeight="1"/>
    <row r="354" s="384" customFormat="1" ht="14.25" customHeight="1"/>
    <row r="355" s="384" customFormat="1" ht="14.25" customHeight="1"/>
    <row r="356" s="384" customFormat="1" ht="14.25" customHeight="1"/>
    <row r="357" s="384" customFormat="1" ht="14.25" customHeight="1"/>
    <row r="358" s="384" customFormat="1" ht="14.25" customHeight="1"/>
    <row r="359" s="384" customFormat="1" ht="14.25" customHeight="1"/>
    <row r="360" s="384" customFormat="1" ht="14.25" customHeight="1"/>
    <row r="361" s="384" customFormat="1" ht="14.25" customHeight="1"/>
    <row r="362" s="384" customFormat="1" ht="14.25" customHeight="1"/>
    <row r="363" s="384" customFormat="1" ht="14.25" customHeight="1"/>
    <row r="364" s="384" customFormat="1" ht="14.25" customHeight="1"/>
    <row r="365" s="384" customFormat="1" ht="14.25" customHeight="1"/>
    <row r="366" s="384" customFormat="1" ht="14.25" customHeight="1"/>
    <row r="367" s="384" customFormat="1" ht="14.25" customHeight="1"/>
    <row r="368" s="384" customFormat="1" ht="14.25" customHeight="1"/>
    <row r="369" s="384" customFormat="1" ht="14.25" customHeight="1"/>
    <row r="370" s="384" customFormat="1" ht="14.25" customHeight="1"/>
    <row r="371" s="384" customFormat="1" ht="14.25" customHeight="1"/>
    <row r="372" s="384" customFormat="1" ht="14.25" customHeight="1"/>
    <row r="373" s="384" customFormat="1" ht="14.25" customHeight="1"/>
    <row r="374" s="384" customFormat="1" ht="14.25" customHeight="1"/>
    <row r="375" s="384" customFormat="1" ht="14.25" customHeight="1"/>
    <row r="376" s="384" customFormat="1" ht="14.25" customHeight="1"/>
    <row r="377" s="384" customFormat="1" ht="14.25" customHeight="1"/>
    <row r="378" s="384" customFormat="1" ht="14.25" customHeight="1"/>
    <row r="379" s="384" customFormat="1" ht="14.25" customHeight="1"/>
    <row r="380" s="384" customFormat="1" ht="14.25" customHeight="1"/>
    <row r="381" s="384" customFormat="1" ht="14.25" customHeight="1"/>
    <row r="382" s="384" customFormat="1" ht="14.25" customHeight="1"/>
    <row r="383" s="384" customFormat="1" ht="14.25" customHeight="1"/>
    <row r="384" s="384" customFormat="1" ht="14.25" customHeight="1"/>
    <row r="385" s="384" customFormat="1" ht="14.25" customHeight="1"/>
    <row r="386" s="384" customFormat="1" ht="14.25" customHeight="1"/>
    <row r="387" s="384" customFormat="1" ht="14.25" customHeight="1"/>
    <row r="388" s="384" customFormat="1" ht="14.25" customHeight="1"/>
    <row r="389" s="384" customFormat="1" ht="14.25" customHeight="1"/>
    <row r="390" s="384" customFormat="1" ht="14.25" customHeight="1"/>
    <row r="391" s="384" customFormat="1" ht="14.25" customHeight="1"/>
    <row r="392" s="384" customFormat="1" ht="14.25" customHeight="1"/>
    <row r="393" s="384" customFormat="1" ht="14.25" customHeight="1"/>
    <row r="394" s="384" customFormat="1" ht="14.25" customHeight="1"/>
    <row r="395" s="384" customFormat="1" ht="14.25" customHeight="1"/>
    <row r="396" s="384" customFormat="1" ht="14.25" customHeight="1"/>
    <row r="397" s="384" customFormat="1" ht="14.25" customHeight="1"/>
    <row r="398" s="384" customFormat="1" ht="14.25" customHeight="1"/>
    <row r="399" s="384" customFormat="1" ht="14.25" customHeight="1"/>
    <row r="400" s="384" customFormat="1" ht="14.25" customHeight="1"/>
    <row r="401" s="384" customFormat="1" ht="14.25" customHeight="1"/>
    <row r="402" s="384" customFormat="1" ht="14.25" customHeight="1"/>
    <row r="403" s="384" customFormat="1" ht="14.25" customHeight="1"/>
    <row r="404" s="384" customFormat="1" ht="14.25" customHeight="1"/>
    <row r="405" s="384" customFormat="1" ht="14.25" customHeight="1"/>
    <row r="406" s="384" customFormat="1" ht="14.25" customHeight="1"/>
    <row r="407" s="384" customFormat="1" ht="14.25" customHeight="1"/>
    <row r="408" s="384" customFormat="1" ht="14.25" customHeight="1"/>
    <row r="409" s="384" customFormat="1" ht="14.25" customHeight="1"/>
    <row r="410" s="384" customFormat="1" ht="14.25" customHeight="1"/>
    <row r="411" s="384" customFormat="1" ht="14.25" customHeight="1"/>
    <row r="412" s="384" customFormat="1" ht="14.25" customHeight="1"/>
    <row r="413" s="384" customFormat="1" ht="14.25" customHeight="1"/>
    <row r="414" s="384" customFormat="1" ht="14.25" customHeight="1"/>
    <row r="415" s="384" customFormat="1" ht="14.25" customHeight="1"/>
    <row r="416" s="384" customFormat="1" ht="14.25" customHeight="1"/>
    <row r="417" s="384" customFormat="1" ht="14.25" customHeight="1"/>
    <row r="418" s="384" customFormat="1" ht="14.25" customHeight="1"/>
    <row r="419" s="384" customFormat="1" ht="14.25" customHeight="1"/>
    <row r="420" s="384" customFormat="1" ht="14.25" customHeight="1"/>
    <row r="421" s="384" customFormat="1" ht="14.25" customHeight="1"/>
    <row r="422" s="384" customFormat="1" ht="14.25" customHeight="1"/>
    <row r="423" s="384" customFormat="1" ht="14.25" customHeight="1"/>
    <row r="424" s="384" customFormat="1" ht="14.25" customHeight="1"/>
    <row r="425" s="384" customFormat="1" ht="14.25" customHeight="1"/>
    <row r="426" s="384" customFormat="1" ht="14.25" customHeight="1"/>
    <row r="427" s="384" customFormat="1" ht="14.25" customHeight="1"/>
    <row r="428" s="384" customFormat="1" ht="14.25" customHeight="1"/>
    <row r="429" s="384" customFormat="1" ht="14.25" customHeight="1"/>
    <row r="430" s="384" customFormat="1" ht="14.25" customHeight="1"/>
    <row r="431" s="384" customFormat="1" ht="14.25" customHeight="1"/>
    <row r="432" s="384" customFormat="1" ht="14.25" customHeight="1"/>
    <row r="433" s="384" customFormat="1" ht="14.25" customHeight="1"/>
    <row r="434" s="384" customFormat="1" ht="14.25" customHeight="1"/>
    <row r="435" s="384" customFormat="1" ht="14.25" customHeight="1"/>
    <row r="436" s="384" customFormat="1" ht="14.25" customHeight="1"/>
    <row r="437" s="384" customFormat="1" ht="14.25" customHeight="1"/>
    <row r="438" s="384" customFormat="1" ht="14.25" customHeight="1"/>
    <row r="439" s="384" customFormat="1" ht="14.25" customHeight="1"/>
    <row r="440" s="384" customFormat="1" ht="14.25" customHeight="1"/>
    <row r="441" s="384" customFormat="1" ht="14.25" customHeight="1"/>
    <row r="442" s="384" customFormat="1" ht="14.25" customHeight="1"/>
    <row r="443" s="384" customFormat="1" ht="14.25" customHeight="1"/>
    <row r="444" s="384" customFormat="1" ht="14.25" customHeight="1"/>
    <row r="445" s="384" customFormat="1" ht="14.25" customHeight="1"/>
    <row r="446" s="384" customFormat="1" ht="14.25" customHeight="1"/>
    <row r="447" s="384" customFormat="1" ht="14.25" customHeight="1"/>
    <row r="448" s="384" customFormat="1" ht="14.25" customHeight="1"/>
    <row r="449" s="384" customFormat="1" ht="14.25" customHeight="1"/>
    <row r="450" s="384" customFormat="1" ht="14.25" customHeight="1"/>
    <row r="451" s="384" customFormat="1" ht="14.25" customHeight="1"/>
    <row r="452" s="384" customFormat="1" ht="14.25" customHeight="1"/>
    <row r="453" s="384" customFormat="1" ht="14.25" customHeight="1"/>
    <row r="454" s="384" customFormat="1" ht="14.25" customHeight="1"/>
    <row r="455" s="384" customFormat="1" ht="14.25" customHeight="1"/>
    <row r="456" s="384" customFormat="1" ht="14.25" customHeight="1"/>
    <row r="457" s="384" customFormat="1" ht="14.25" customHeight="1"/>
    <row r="458" s="384" customFormat="1" ht="14.25" customHeight="1"/>
    <row r="459" s="384" customFormat="1" ht="14.25" customHeight="1"/>
    <row r="460" s="384" customFormat="1" ht="14.25" customHeight="1"/>
    <row r="461" s="384" customFormat="1" ht="14.25" customHeight="1"/>
    <row r="462" s="384" customFormat="1" ht="14.25" customHeight="1"/>
    <row r="463" s="384" customFormat="1" ht="14.25" customHeight="1"/>
    <row r="464" s="384" customFormat="1" ht="14.25" customHeight="1"/>
    <row r="465" s="384" customFormat="1" ht="14.25" customHeight="1"/>
    <row r="466" s="384" customFormat="1" ht="14.25" customHeight="1"/>
    <row r="467" s="384" customFormat="1" ht="14.25" customHeight="1"/>
    <row r="468" s="384" customFormat="1" ht="14.25" customHeight="1"/>
    <row r="469" s="384" customFormat="1" ht="14.25" customHeight="1"/>
    <row r="470" s="384" customFormat="1" ht="14.25" customHeight="1"/>
    <row r="471" s="384" customFormat="1" ht="14.25" customHeight="1"/>
    <row r="472" s="384" customFormat="1" ht="14.25" customHeight="1"/>
    <row r="473" s="384" customFormat="1" ht="14.25" customHeight="1"/>
    <row r="474" s="384" customFormat="1" ht="14.25" customHeight="1"/>
    <row r="475" s="384" customFormat="1" ht="14.25" customHeight="1"/>
    <row r="476" s="384" customFormat="1" ht="14.25" customHeight="1"/>
    <row r="477" s="384" customFormat="1" ht="14.25" customHeight="1"/>
    <row r="478" s="384" customFormat="1" ht="14.25" customHeight="1"/>
    <row r="479" s="384" customFormat="1" ht="14.25" customHeight="1"/>
    <row r="480" s="384" customFormat="1" ht="14.25" customHeight="1"/>
    <row r="481" s="384" customFormat="1" ht="14.25" customHeight="1"/>
    <row r="482" s="384" customFormat="1" ht="14.25" customHeight="1"/>
    <row r="483" s="384" customFormat="1" ht="14.25" customHeight="1"/>
    <row r="484" s="384" customFormat="1" ht="14.25" customHeight="1"/>
    <row r="485" s="384" customFormat="1" ht="14.25" customHeight="1"/>
    <row r="486" s="384" customFormat="1" ht="14.25" customHeight="1"/>
    <row r="487" s="384" customFormat="1" ht="14.25" customHeight="1"/>
    <row r="488" s="384" customFormat="1" ht="14.25" customHeight="1"/>
    <row r="489" s="384" customFormat="1" ht="14.25" customHeight="1"/>
    <row r="490" s="384" customFormat="1" ht="14.25" customHeight="1"/>
    <row r="491" s="384" customFormat="1" ht="14.25" customHeight="1"/>
    <row r="492" s="384" customFormat="1" ht="14.25" customHeight="1"/>
    <row r="493" s="384" customFormat="1" ht="14.25" customHeight="1"/>
    <row r="494" s="384" customFormat="1" ht="14.25" customHeight="1"/>
    <row r="495" s="384" customFormat="1" ht="14.25" customHeight="1"/>
    <row r="496" s="384" customFormat="1" ht="14.25" customHeight="1"/>
    <row r="497" s="384" customFormat="1" ht="14.25" customHeight="1"/>
    <row r="498" s="384" customFormat="1" ht="14.25" customHeight="1"/>
    <row r="499" s="384" customFormat="1" ht="14.25" customHeight="1"/>
    <row r="500" s="384" customFormat="1" ht="14.25" customHeight="1"/>
    <row r="501" s="384" customFormat="1" ht="14.25" customHeight="1"/>
    <row r="502" s="384" customFormat="1" ht="14.25" customHeight="1"/>
    <row r="503" s="384" customFormat="1" ht="14.25" customHeight="1"/>
    <row r="504" s="384" customFormat="1" ht="14.25" customHeight="1"/>
    <row r="505" s="384" customFormat="1" ht="14.25" customHeight="1"/>
    <row r="506" s="384" customFormat="1" ht="14.25" customHeight="1"/>
    <row r="507" s="384" customFormat="1" ht="14.25" customHeight="1"/>
    <row r="508" s="384" customFormat="1" ht="14.25" customHeight="1"/>
    <row r="509" s="384" customFormat="1" ht="14.25" customHeight="1"/>
    <row r="510" s="384" customFormat="1" ht="14.25" customHeight="1"/>
    <row r="511" s="384" customFormat="1" ht="14.25" customHeight="1"/>
    <row r="512" s="384" customFormat="1" ht="14.25" customHeight="1"/>
    <row r="513" s="384" customFormat="1" ht="14.25" customHeight="1"/>
    <row r="514" s="384" customFormat="1" ht="14.25" customHeight="1"/>
    <row r="515" s="384" customFormat="1" ht="14.25" customHeight="1"/>
    <row r="516" s="384" customFormat="1" ht="14.25" customHeight="1"/>
    <row r="517" s="384" customFormat="1" ht="14.25" customHeight="1"/>
    <row r="518" s="384" customFormat="1" ht="14.25" customHeight="1"/>
    <row r="519" s="384" customFormat="1" ht="14.25" customHeight="1"/>
    <row r="520" s="384" customFormat="1" ht="14.25" customHeight="1"/>
    <row r="521" s="384" customFormat="1" ht="14.25" customHeight="1"/>
    <row r="522" s="384" customFormat="1" ht="14.25" customHeight="1"/>
    <row r="523" s="384" customFormat="1" ht="14.25" customHeight="1"/>
    <row r="524" s="384" customFormat="1" ht="14.25" customHeight="1"/>
    <row r="525" s="384" customFormat="1" ht="14.25" customHeight="1"/>
    <row r="526" s="384" customFormat="1" ht="14.25" customHeight="1"/>
    <row r="527" s="384" customFormat="1" ht="14.25" customHeight="1"/>
    <row r="528" s="384" customFormat="1" ht="14.25" customHeight="1"/>
    <row r="529" s="384" customFormat="1" ht="14.25" customHeight="1"/>
    <row r="530" s="384" customFormat="1" ht="14.25" customHeight="1"/>
    <row r="531" s="384" customFormat="1" ht="14.25" customHeight="1"/>
    <row r="532" s="384" customFormat="1" ht="14.25" customHeight="1"/>
    <row r="533" s="384" customFormat="1" ht="14.25" customHeight="1"/>
    <row r="534" s="384" customFormat="1" ht="14.25" customHeight="1"/>
    <row r="535" s="384" customFormat="1" ht="14.25" customHeight="1"/>
    <row r="536" s="384" customFormat="1" ht="14.25" customHeight="1"/>
    <row r="537" s="384" customFormat="1" ht="14.25" customHeight="1"/>
    <row r="538" s="384" customFormat="1" ht="14.25" customHeight="1"/>
    <row r="539" s="384" customFormat="1" ht="14.25" customHeight="1"/>
    <row r="540" s="384" customFormat="1" ht="14.25" customHeight="1"/>
    <row r="541" s="384" customFormat="1" ht="14.25" customHeight="1"/>
    <row r="542" s="384" customFormat="1" ht="14.25" customHeight="1"/>
    <row r="543" s="384" customFormat="1" ht="14.25" customHeight="1"/>
    <row r="544" s="384" customFormat="1" ht="14.25" customHeight="1"/>
    <row r="545" s="384" customFormat="1" ht="14.25" customHeight="1"/>
    <row r="546" s="384" customFormat="1" ht="14.25" customHeight="1"/>
    <row r="547" s="384" customFormat="1" ht="14.25" customHeight="1"/>
    <row r="548" s="384" customFormat="1" ht="14.25" customHeight="1"/>
    <row r="549" s="384" customFormat="1" ht="14.25" customHeight="1"/>
    <row r="550" s="384" customFormat="1" ht="14.25" customHeight="1"/>
    <row r="551" s="384" customFormat="1" ht="14.25" customHeight="1"/>
    <row r="552" s="384" customFormat="1" ht="14.25" customHeight="1"/>
    <row r="553" s="384" customFormat="1" ht="14.25" customHeight="1"/>
    <row r="554" s="384" customFormat="1" ht="14.25" customHeight="1"/>
    <row r="555" s="384" customFormat="1" ht="14.25" customHeight="1"/>
    <row r="556" s="384" customFormat="1" ht="14.25" customHeight="1"/>
    <row r="557" s="384" customFormat="1" ht="14.25" customHeight="1"/>
    <row r="558" s="384" customFormat="1" ht="14.25" customHeight="1"/>
    <row r="559" s="384" customFormat="1" ht="14.25" customHeight="1"/>
    <row r="560" s="384" customFormat="1" ht="14.25" customHeight="1"/>
    <row r="561" s="384" customFormat="1" ht="14.25" customHeight="1"/>
    <row r="562" s="384" customFormat="1" ht="14.25" customHeight="1"/>
    <row r="563" s="384" customFormat="1" ht="14.25" customHeight="1"/>
    <row r="564" s="384" customFormat="1" ht="14.25" customHeight="1"/>
    <row r="565" s="384" customFormat="1" ht="14.25" customHeight="1"/>
    <row r="566" s="384" customFormat="1" ht="14.25" customHeight="1"/>
    <row r="567" s="384" customFormat="1" ht="14.25" customHeight="1"/>
    <row r="568" s="384" customFormat="1" ht="14.25" customHeight="1"/>
    <row r="569" s="384" customFormat="1" ht="14.25" customHeight="1"/>
    <row r="570" s="384" customFormat="1" ht="14.25" customHeight="1"/>
    <row r="571" s="384" customFormat="1" ht="14.25" customHeight="1"/>
    <row r="572" s="384" customFormat="1" ht="14.25" customHeight="1"/>
    <row r="573" s="384" customFormat="1" ht="14.25" customHeight="1"/>
    <row r="574" s="384" customFormat="1" ht="14.25" customHeight="1"/>
    <row r="575" s="384" customFormat="1" ht="14.25" customHeight="1"/>
    <row r="576" s="384" customFormat="1" ht="14.25" customHeight="1"/>
    <row r="577" s="384" customFormat="1" ht="14.25" customHeight="1"/>
    <row r="578" s="384" customFormat="1" ht="14.25" customHeight="1"/>
    <row r="579" s="384" customFormat="1" ht="14.25" customHeight="1"/>
    <row r="580" s="384" customFormat="1" ht="14.25" customHeight="1"/>
    <row r="581" s="384" customFormat="1" ht="14.25" customHeight="1"/>
    <row r="582" s="384" customFormat="1" ht="14.25" customHeight="1"/>
    <row r="583" s="384" customFormat="1" ht="14.25" customHeight="1"/>
    <row r="584" s="384" customFormat="1" ht="14.25" customHeight="1"/>
    <row r="585" s="384" customFormat="1" ht="14.25" customHeight="1"/>
    <row r="586" s="384" customFormat="1" ht="14.25" customHeight="1"/>
    <row r="587" s="384" customFormat="1" ht="14.25" customHeight="1"/>
    <row r="588" s="384" customFormat="1" ht="14.25" customHeight="1"/>
    <row r="589" s="384" customFormat="1" ht="14.25" customHeight="1"/>
    <row r="590" s="384" customFormat="1" ht="14.25" customHeight="1"/>
    <row r="591" s="384" customFormat="1" ht="14.25" customHeight="1"/>
    <row r="592" s="384" customFormat="1" ht="14.25" customHeight="1"/>
    <row r="593" s="384" customFormat="1" ht="14.25" customHeight="1"/>
    <row r="594" s="384" customFormat="1" ht="14.25" customHeight="1"/>
    <row r="595" s="384" customFormat="1" ht="14.25" customHeight="1"/>
    <row r="596" s="384" customFormat="1" ht="14.25" customHeight="1"/>
    <row r="597" s="384" customFormat="1" ht="14.25" customHeight="1"/>
    <row r="598" s="384" customFormat="1" ht="14.25" customHeight="1"/>
    <row r="599" s="384" customFormat="1" ht="14.25" customHeight="1"/>
    <row r="600" s="384" customFormat="1" ht="14.25" customHeight="1"/>
    <row r="601" s="384" customFormat="1" ht="14.25" customHeight="1"/>
    <row r="602" s="384" customFormat="1" ht="14.25" customHeight="1"/>
    <row r="603" s="384" customFormat="1" ht="14.25" customHeight="1"/>
    <row r="604" s="384" customFormat="1" ht="14.25" customHeight="1"/>
    <row r="605" s="384" customFormat="1" ht="14.25" customHeight="1"/>
    <row r="606" s="384" customFormat="1" ht="14.25" customHeight="1"/>
    <row r="607" s="384" customFormat="1" ht="14.25" customHeight="1"/>
    <row r="608" s="384" customFormat="1" ht="14.25" customHeight="1"/>
    <row r="609" s="384" customFormat="1" ht="14.25" customHeight="1"/>
    <row r="610" s="384" customFormat="1" ht="14.25" customHeight="1"/>
    <row r="611" s="384" customFormat="1" ht="14.25" customHeight="1"/>
    <row r="612" s="384" customFormat="1" ht="14.25" customHeight="1"/>
    <row r="613" s="384" customFormat="1" ht="14.25" customHeight="1"/>
    <row r="614" s="384" customFormat="1" ht="14.25" customHeight="1"/>
    <row r="615" s="384" customFormat="1" ht="14.25" customHeight="1"/>
    <row r="616" s="384" customFormat="1" ht="14.25" customHeight="1"/>
    <row r="617" s="384" customFormat="1" ht="14.25" customHeight="1"/>
    <row r="618" s="384" customFormat="1" ht="14.25" customHeight="1"/>
    <row r="619" s="384" customFormat="1" ht="14.25" customHeight="1"/>
    <row r="620" s="384" customFormat="1" ht="14.25" customHeight="1"/>
    <row r="621" s="384" customFormat="1" ht="14.25" customHeight="1"/>
    <row r="622" s="384" customFormat="1" ht="14.25" customHeight="1"/>
    <row r="623" s="384" customFormat="1" ht="14.25" customHeight="1"/>
    <row r="624" s="384" customFormat="1" ht="14.25" customHeight="1"/>
    <row r="625" s="384" customFormat="1" ht="14.25" customHeight="1"/>
    <row r="626" s="384" customFormat="1" ht="14.25" customHeight="1"/>
    <row r="627" s="384" customFormat="1" ht="14.25" customHeight="1"/>
    <row r="628" s="384" customFormat="1" ht="14.25" customHeight="1"/>
    <row r="629" s="384" customFormat="1" ht="14.25" customHeight="1"/>
    <row r="630" s="384" customFormat="1" ht="14.25" customHeight="1"/>
    <row r="631" s="384" customFormat="1" ht="14.25" customHeight="1"/>
    <row r="632" s="384" customFormat="1" ht="14.25" customHeight="1"/>
    <row r="633" s="384" customFormat="1" ht="14.25" customHeight="1"/>
    <row r="634" s="384" customFormat="1" ht="14.25" customHeight="1"/>
    <row r="635" s="384" customFormat="1" ht="14.25" customHeight="1"/>
    <row r="636" s="384" customFormat="1" ht="14.25" customHeight="1"/>
    <row r="637" s="384" customFormat="1" ht="14.25" customHeight="1"/>
    <row r="638" s="384" customFormat="1" ht="14.25" customHeight="1"/>
    <row r="639" s="384" customFormat="1" ht="14.25" customHeight="1"/>
    <row r="640" s="384" customFormat="1" ht="14.25" customHeight="1"/>
    <row r="641" s="384" customFormat="1" ht="14.25" customHeight="1"/>
    <row r="642" s="384" customFormat="1" ht="14.25" customHeight="1"/>
    <row r="643" s="384" customFormat="1" ht="14.25" customHeight="1"/>
    <row r="644" s="384" customFormat="1" ht="14.25" customHeight="1"/>
    <row r="645" s="384" customFormat="1" ht="14.25" customHeight="1"/>
    <row r="646" s="384" customFormat="1" ht="14.25" customHeight="1"/>
    <row r="647" s="384" customFormat="1" ht="14.25" customHeight="1"/>
    <row r="648" s="384" customFormat="1" ht="14.25" customHeight="1"/>
    <row r="649" s="384" customFormat="1" ht="14.25" customHeight="1"/>
    <row r="650" s="384" customFormat="1" ht="14.25" customHeight="1"/>
    <row r="651" s="384" customFormat="1" ht="14.25" customHeight="1"/>
    <row r="652" s="384" customFormat="1" ht="14.25" customHeight="1"/>
    <row r="653" s="384" customFormat="1" ht="14.25" customHeight="1"/>
    <row r="654" s="384" customFormat="1" ht="14.25" customHeight="1"/>
    <row r="655" s="384" customFormat="1" ht="14.25" customHeight="1"/>
    <row r="656" s="384" customFormat="1" ht="14.25" customHeight="1"/>
    <row r="657" s="384" customFormat="1" ht="14.25" customHeight="1"/>
    <row r="658" s="384" customFormat="1" ht="14.25" customHeight="1"/>
    <row r="659" s="384" customFormat="1" ht="14.25" customHeight="1"/>
    <row r="660" s="384" customFormat="1" ht="14.25" customHeight="1"/>
    <row r="661" s="384" customFormat="1" ht="14.25" customHeight="1"/>
    <row r="662" s="384" customFormat="1" ht="14.25" customHeight="1"/>
    <row r="663" s="384" customFormat="1" ht="14.25" customHeight="1"/>
    <row r="664" s="384" customFormat="1" ht="14.25" customHeight="1"/>
    <row r="665" s="384" customFormat="1" ht="14.25" customHeight="1"/>
    <row r="666" s="384" customFormat="1" ht="14.25" customHeight="1"/>
    <row r="667" s="384" customFormat="1" ht="14.25" customHeight="1"/>
    <row r="668" s="384" customFormat="1" ht="14.25" customHeight="1"/>
    <row r="669" s="384" customFormat="1" ht="14.25" customHeight="1"/>
    <row r="670" s="384" customFormat="1" ht="14.25" customHeight="1"/>
    <row r="671" s="384" customFormat="1" ht="14.25" customHeight="1"/>
    <row r="672" s="384" customFormat="1" ht="14.25" customHeight="1"/>
    <row r="673" s="384" customFormat="1" ht="14.25" customHeight="1"/>
    <row r="674" s="384" customFormat="1" ht="14.25" customHeight="1"/>
    <row r="675" s="384" customFormat="1" ht="14.25" customHeight="1"/>
    <row r="676" s="384" customFormat="1" ht="14.25" customHeight="1"/>
    <row r="677" s="384" customFormat="1" ht="14.25" customHeight="1"/>
    <row r="678" s="384" customFormat="1" ht="14.25" customHeight="1"/>
    <row r="679" s="384" customFormat="1" ht="14.25" customHeight="1"/>
    <row r="680" s="384" customFormat="1" ht="14.25" customHeight="1"/>
    <row r="681" s="384" customFormat="1" ht="14.25" customHeight="1"/>
    <row r="682" s="384" customFormat="1" ht="14.25" customHeight="1"/>
    <row r="683" s="384" customFormat="1" ht="14.25" customHeight="1"/>
    <row r="684" s="384" customFormat="1" ht="14.25" customHeight="1"/>
    <row r="685" s="384" customFormat="1" ht="14.25" customHeight="1"/>
    <row r="686" s="384" customFormat="1" ht="14.25" customHeight="1"/>
    <row r="687" s="384" customFormat="1" ht="14.25" customHeight="1"/>
    <row r="688" s="384" customFormat="1" ht="14.25" customHeight="1"/>
    <row r="689" s="384" customFormat="1" ht="14.25" customHeight="1"/>
    <row r="690" s="384" customFormat="1" ht="14.25" customHeight="1"/>
    <row r="691" s="384" customFormat="1" ht="14.25" customHeight="1"/>
    <row r="692" s="384" customFormat="1" ht="14.25" customHeight="1"/>
    <row r="693" s="384" customFormat="1" ht="14.25" customHeight="1"/>
    <row r="694" s="384" customFormat="1" ht="14.25" customHeight="1"/>
    <row r="695" s="384" customFormat="1" ht="14.25" customHeight="1"/>
    <row r="696" s="384" customFormat="1" ht="14.25" customHeight="1"/>
    <row r="697" s="384" customFormat="1" ht="14.25" customHeight="1"/>
    <row r="698" s="384" customFormat="1" ht="14.25" customHeight="1"/>
    <row r="699" s="384" customFormat="1" ht="14.25" customHeight="1"/>
    <row r="700" s="384" customFormat="1" ht="14.25" customHeight="1"/>
    <row r="701" s="384" customFormat="1" ht="14.25" customHeight="1"/>
    <row r="702" s="384" customFormat="1" ht="14.25" customHeight="1"/>
    <row r="703" s="384" customFormat="1" ht="14.25" customHeight="1"/>
    <row r="704" s="384" customFormat="1" ht="14.25" customHeight="1"/>
    <row r="705" s="384" customFormat="1" ht="14.25" customHeight="1"/>
    <row r="706" s="384" customFormat="1" ht="14.25" customHeight="1"/>
    <row r="707" s="384" customFormat="1" ht="14.25" customHeight="1"/>
    <row r="708" s="384" customFormat="1" ht="14.25" customHeight="1"/>
    <row r="709" s="384" customFormat="1" ht="14.25" customHeight="1"/>
    <row r="710" s="384" customFormat="1" ht="14.25" customHeight="1"/>
    <row r="711" s="384" customFormat="1" ht="14.25" customHeight="1"/>
    <row r="712" s="384" customFormat="1" ht="14.25" customHeight="1"/>
    <row r="713" s="384" customFormat="1" ht="14.25" customHeight="1"/>
    <row r="714" s="384" customFormat="1" ht="14.25" customHeight="1"/>
    <row r="715" s="384" customFormat="1" ht="14.25" customHeight="1"/>
    <row r="716" s="384" customFormat="1" ht="14.25" customHeight="1"/>
    <row r="717" s="384" customFormat="1" ht="14.25" customHeight="1"/>
    <row r="718" s="384" customFormat="1" ht="14.25" customHeight="1"/>
    <row r="719" s="384" customFormat="1" ht="14.25" customHeight="1"/>
    <row r="720" s="384" customFormat="1" ht="14.25" customHeight="1"/>
    <row r="721" s="384" customFormat="1" ht="14.25" customHeight="1"/>
    <row r="722" s="384" customFormat="1" ht="14.25" customHeight="1"/>
    <row r="723" s="384" customFormat="1" ht="14.25" customHeight="1"/>
    <row r="724" s="384" customFormat="1" ht="14.25" customHeight="1"/>
    <row r="725" s="384" customFormat="1" ht="14.25" customHeight="1"/>
    <row r="726" s="384" customFormat="1" ht="14.25" customHeight="1"/>
    <row r="727" s="384" customFormat="1" ht="14.25" customHeight="1"/>
    <row r="728" s="384" customFormat="1" ht="14.25" customHeight="1"/>
    <row r="729" s="384" customFormat="1" ht="14.25" customHeight="1"/>
    <row r="730" s="384" customFormat="1" ht="14.25" customHeight="1"/>
    <row r="731" s="384" customFormat="1" ht="14.25" customHeight="1"/>
    <row r="732" s="384" customFormat="1" ht="14.25" customHeight="1"/>
    <row r="733" s="384" customFormat="1" ht="14.25" customHeight="1"/>
    <row r="734" s="384" customFormat="1" ht="14.25" customHeight="1"/>
    <row r="735" s="384" customFormat="1" ht="14.25" customHeight="1"/>
    <row r="736" s="384" customFormat="1" ht="14.25" customHeight="1"/>
    <row r="737" s="384" customFormat="1" ht="14.25" customHeight="1"/>
    <row r="738" s="384" customFormat="1" ht="14.25" customHeight="1"/>
    <row r="739" s="384" customFormat="1" ht="14.25" customHeight="1"/>
    <row r="740" s="384" customFormat="1" ht="14.25" customHeight="1"/>
    <row r="741" s="384" customFormat="1" ht="14.25" customHeight="1"/>
    <row r="742" s="384" customFormat="1" ht="14.25" customHeight="1"/>
    <row r="743" s="384" customFormat="1" ht="14.25" customHeight="1"/>
    <row r="744" s="384" customFormat="1" ht="14.25" customHeight="1"/>
    <row r="745" s="384" customFormat="1" ht="14.25" customHeight="1"/>
    <row r="746" s="384" customFormat="1" ht="14.25" customHeight="1"/>
    <row r="747" s="384" customFormat="1" ht="14.25" customHeight="1"/>
    <row r="748" s="384" customFormat="1" ht="14.25" customHeight="1"/>
    <row r="749" s="384" customFormat="1" ht="14.25" customHeight="1"/>
    <row r="750" s="384" customFormat="1" ht="14.25" customHeight="1"/>
    <row r="751" s="384" customFormat="1" ht="14.25" customHeight="1"/>
    <row r="752" s="384" customFormat="1" ht="14.25" customHeight="1"/>
    <row r="753" s="384" customFormat="1" ht="14.25" customHeight="1"/>
    <row r="754" s="384" customFormat="1" ht="14.25" customHeight="1"/>
    <row r="755" s="384" customFormat="1" ht="14.25" customHeight="1"/>
    <row r="756" s="384" customFormat="1" ht="14.25" customHeight="1"/>
    <row r="757" s="384" customFormat="1" ht="14.25" customHeight="1"/>
    <row r="758" s="384" customFormat="1" ht="14.25" customHeight="1"/>
    <row r="759" s="384" customFormat="1" ht="14.25" customHeight="1"/>
    <row r="760" s="384" customFormat="1" ht="14.25" customHeight="1"/>
    <row r="761" s="384" customFormat="1" ht="14.25" customHeight="1"/>
    <row r="762" s="384" customFormat="1" ht="14.25" customHeight="1"/>
    <row r="763" s="384" customFormat="1" ht="14.25" customHeight="1"/>
    <row r="764" s="384" customFormat="1" ht="14.25" customHeight="1"/>
    <row r="765" s="384" customFormat="1" ht="14.25" customHeight="1"/>
    <row r="766" s="384" customFormat="1" ht="14.25" customHeight="1"/>
    <row r="767" s="384" customFormat="1" ht="14.25" customHeight="1"/>
    <row r="768" s="384" customFormat="1" ht="14.25" customHeight="1"/>
    <row r="769" s="384" customFormat="1" ht="14.25" customHeight="1"/>
    <row r="770" s="384" customFormat="1" ht="14.25" customHeight="1"/>
    <row r="771" s="384" customFormat="1" ht="14.25" customHeight="1"/>
    <row r="772" s="384" customFormat="1" ht="14.25" customHeight="1"/>
    <row r="773" s="384" customFormat="1" ht="14.25" customHeight="1"/>
    <row r="774" s="384" customFormat="1" ht="14.25" customHeight="1"/>
    <row r="775" s="384" customFormat="1" ht="14.25" customHeight="1"/>
    <row r="776" s="384" customFormat="1" ht="14.25" customHeight="1"/>
    <row r="777" s="384" customFormat="1" ht="14.25" customHeight="1"/>
    <row r="778" s="384" customFormat="1" ht="14.25" customHeight="1"/>
    <row r="779" s="384" customFormat="1" ht="14.25" customHeight="1"/>
    <row r="780" s="384" customFormat="1" ht="14.25" customHeight="1"/>
    <row r="781" s="384" customFormat="1" ht="14.25" customHeight="1"/>
    <row r="782" s="384" customFormat="1" ht="14.25" customHeight="1"/>
    <row r="783" s="384" customFormat="1" ht="14.25" customHeight="1"/>
    <row r="784" s="384" customFormat="1" ht="14.25" customHeight="1"/>
    <row r="785" s="384" customFormat="1" ht="14.25" customHeight="1"/>
    <row r="786" s="384" customFormat="1" ht="14.25" customHeight="1"/>
    <row r="787" s="384" customFormat="1" ht="14.25" customHeight="1"/>
    <row r="788" s="384" customFormat="1" ht="14.25" customHeight="1"/>
    <row r="789" s="384" customFormat="1" ht="14.25" customHeight="1"/>
    <row r="790" s="384" customFormat="1" ht="14.25" customHeight="1"/>
    <row r="791" s="384" customFormat="1" ht="14.25" customHeight="1"/>
    <row r="792" s="384" customFormat="1" ht="14.25" customHeight="1"/>
    <row r="793" s="384" customFormat="1" ht="14.25" customHeight="1"/>
    <row r="794" s="384" customFormat="1" ht="14.25" customHeight="1"/>
    <row r="795" s="384" customFormat="1" ht="14.25" customHeight="1"/>
    <row r="796" s="384" customFormat="1" ht="14.25" customHeight="1"/>
    <row r="797" s="384" customFormat="1" ht="14.25" customHeight="1"/>
    <row r="798" s="384" customFormat="1" ht="14.25" customHeight="1"/>
    <row r="799" s="384" customFormat="1" ht="14.25" customHeight="1"/>
    <row r="800" s="384" customFormat="1" ht="14.25" customHeight="1"/>
    <row r="801" s="384" customFormat="1" ht="14.25" customHeight="1"/>
    <row r="802" s="384" customFormat="1" ht="14.25" customHeight="1"/>
    <row r="803" s="384" customFormat="1" ht="14.25" customHeight="1"/>
    <row r="804" s="384" customFormat="1" ht="14.25" customHeight="1"/>
    <row r="805" s="384" customFormat="1" ht="14.25" customHeight="1"/>
    <row r="806" s="384" customFormat="1" ht="14.25" customHeight="1"/>
    <row r="807" s="384" customFormat="1" ht="14.25" customHeight="1"/>
    <row r="808" s="384" customFormat="1" ht="14.25" customHeight="1"/>
    <row r="809" s="384" customFormat="1" ht="14.25" customHeight="1"/>
    <row r="810" s="384" customFormat="1" ht="14.25" customHeight="1"/>
    <row r="811" s="384" customFormat="1" ht="14.25" customHeight="1"/>
    <row r="812" s="384" customFormat="1" ht="14.25" customHeight="1"/>
    <row r="813" s="384" customFormat="1" ht="14.25" customHeight="1"/>
    <row r="814" s="384" customFormat="1" ht="14.25" customHeight="1"/>
    <row r="815" s="384" customFormat="1" ht="14.25" customHeight="1"/>
    <row r="816" s="384" customFormat="1" ht="14.25" customHeight="1"/>
    <row r="817" s="384" customFormat="1" ht="14.25" customHeight="1"/>
    <row r="818" s="384" customFormat="1" ht="14.25" customHeight="1"/>
    <row r="819" s="384" customFormat="1" ht="14.25" customHeight="1"/>
    <row r="820" s="384" customFormat="1" ht="14.25" customHeight="1"/>
    <row r="821" s="384" customFormat="1" ht="14.25" customHeight="1"/>
    <row r="822" s="384" customFormat="1" ht="14.25" customHeight="1"/>
    <row r="823" s="384" customFormat="1" ht="14.25" customHeight="1"/>
    <row r="824" s="384" customFormat="1" ht="14.25" customHeight="1"/>
    <row r="825" s="384" customFormat="1" ht="14.25" customHeight="1"/>
    <row r="826" s="384" customFormat="1" ht="14.25" customHeight="1"/>
    <row r="827" s="384" customFormat="1" ht="14.25" customHeight="1"/>
    <row r="828" s="384" customFormat="1" ht="14.25" customHeight="1"/>
    <row r="829" s="384" customFormat="1" ht="14.25" customHeight="1"/>
    <row r="830" s="384" customFormat="1" ht="14.25" customHeight="1"/>
    <row r="831" s="384" customFormat="1" ht="14.25" customHeight="1"/>
    <row r="832" s="384" customFormat="1" ht="14.25" customHeight="1"/>
    <row r="833" s="384" customFormat="1" ht="14.25" customHeight="1"/>
    <row r="834" s="384" customFormat="1" ht="14.25" customHeight="1"/>
    <row r="835" s="384" customFormat="1" ht="14.25" customHeight="1"/>
    <row r="836" s="384" customFormat="1" ht="14.25" customHeight="1"/>
    <row r="837" s="384" customFormat="1" ht="14.25" customHeight="1"/>
    <row r="838" s="384" customFormat="1" ht="14.25" customHeight="1"/>
    <row r="839" s="384" customFormat="1" ht="14.25" customHeight="1"/>
    <row r="840" s="384" customFormat="1" ht="14.25" customHeight="1"/>
    <row r="841" s="384" customFormat="1" ht="14.25" customHeight="1"/>
    <row r="842" s="384" customFormat="1" ht="14.25" customHeight="1"/>
    <row r="843" s="384" customFormat="1" ht="14.25" customHeight="1"/>
    <row r="844" s="384" customFormat="1" ht="14.25" customHeight="1"/>
    <row r="845" s="384" customFormat="1" ht="14.25" customHeight="1"/>
    <row r="846" s="384" customFormat="1" ht="14.25" customHeight="1"/>
    <row r="847" s="384" customFormat="1" ht="14.25" customHeight="1"/>
    <row r="848" s="384" customFormat="1" ht="14.25" customHeight="1"/>
    <row r="849" s="384" customFormat="1" ht="14.25" customHeight="1"/>
    <row r="850" s="384" customFormat="1" ht="14.25" customHeight="1"/>
    <row r="851" s="384" customFormat="1" ht="14.25" customHeight="1"/>
    <row r="852" s="384" customFormat="1" ht="14.25" customHeight="1"/>
    <row r="853" s="384" customFormat="1" ht="14.25" customHeight="1"/>
    <row r="854" s="384" customFormat="1" ht="14.25" customHeight="1"/>
    <row r="855" s="384" customFormat="1" ht="14.25" customHeight="1"/>
    <row r="856" s="384" customFormat="1" ht="14.25" customHeight="1"/>
    <row r="857" s="384" customFormat="1" ht="14.25" customHeight="1"/>
    <row r="858" s="384" customFormat="1" ht="14.25" customHeight="1"/>
    <row r="859" s="384" customFormat="1" ht="14.25" customHeight="1"/>
    <row r="860" s="384" customFormat="1" ht="14.25" customHeight="1"/>
    <row r="861" s="384" customFormat="1" ht="14.25" customHeight="1"/>
    <row r="862" s="384" customFormat="1" ht="14.25" customHeight="1"/>
    <row r="863" s="384" customFormat="1" ht="14.25" customHeight="1"/>
    <row r="864" s="384" customFormat="1" ht="14.25" customHeight="1"/>
    <row r="865" s="384" customFormat="1" ht="14.25" customHeight="1"/>
    <row r="866" s="384" customFormat="1" ht="14.25" customHeight="1"/>
    <row r="867" s="384" customFormat="1" ht="14.25" customHeight="1"/>
    <row r="868" s="384" customFormat="1" ht="14.25" customHeight="1"/>
    <row r="869" s="384" customFormat="1" ht="14.25" customHeight="1"/>
    <row r="870" s="384" customFormat="1" ht="14.25" customHeight="1"/>
    <row r="871" s="384" customFormat="1" ht="14.25" customHeight="1"/>
    <row r="872" s="384" customFormat="1" ht="14.25" customHeight="1"/>
    <row r="873" s="384" customFormat="1" ht="14.25" customHeight="1"/>
    <row r="874" s="384" customFormat="1" ht="14.25" customHeight="1"/>
    <row r="875" s="384" customFormat="1" ht="14.25" customHeight="1"/>
    <row r="876" s="384" customFormat="1" ht="14.25" customHeight="1"/>
    <row r="877" s="384" customFormat="1" ht="14.25" customHeight="1"/>
    <row r="878" s="384" customFormat="1" ht="14.25" customHeight="1"/>
    <row r="879" s="384" customFormat="1" ht="14.25" customHeight="1"/>
    <row r="880" s="384" customFormat="1" ht="14.25" customHeight="1"/>
    <row r="881" s="384" customFormat="1" ht="14.25" customHeight="1"/>
    <row r="882" s="384" customFormat="1" ht="14.25" customHeight="1"/>
    <row r="883" s="384" customFormat="1" ht="14.25" customHeight="1"/>
    <row r="884" s="384" customFormat="1" ht="14.25" customHeight="1"/>
    <row r="885" s="384" customFormat="1" ht="14.25" customHeight="1"/>
    <row r="886" s="384" customFormat="1" ht="14.25" customHeight="1"/>
    <row r="887" s="384" customFormat="1" ht="14.25" customHeight="1"/>
    <row r="888" s="384" customFormat="1" ht="14.25" customHeight="1"/>
    <row r="889" s="384" customFormat="1" ht="14.25" customHeight="1"/>
    <row r="890" s="384" customFormat="1" ht="14.25" customHeight="1"/>
    <row r="891" s="384" customFormat="1" ht="14.25" customHeight="1"/>
    <row r="892" s="384" customFormat="1" ht="14.25" customHeight="1"/>
    <row r="893" s="384" customFormat="1" ht="14.25" customHeight="1"/>
    <row r="894" s="384" customFormat="1" ht="14.25" customHeight="1"/>
    <row r="895" s="384" customFormat="1" ht="14.25" customHeight="1"/>
    <row r="896" s="384" customFormat="1" ht="14.25" customHeight="1"/>
    <row r="897" s="384" customFormat="1" ht="14.25" customHeight="1"/>
    <row r="898" s="384" customFormat="1" ht="14.25" customHeight="1"/>
    <row r="899" s="384" customFormat="1" ht="14.25" customHeight="1"/>
    <row r="900" s="384" customFormat="1" ht="14.25" customHeight="1"/>
    <row r="901" s="384" customFormat="1" ht="14.25" customHeight="1"/>
    <row r="902" s="384" customFormat="1" ht="14.25" customHeight="1"/>
    <row r="903" s="384" customFormat="1" ht="14.25" customHeight="1"/>
    <row r="904" s="384" customFormat="1" ht="14.25" customHeight="1"/>
    <row r="905" s="384" customFormat="1" ht="14.25" customHeight="1"/>
    <row r="906" s="384" customFormat="1" ht="14.25" customHeight="1"/>
    <row r="907" s="384" customFormat="1" ht="14.25" customHeight="1"/>
    <row r="908" s="384" customFormat="1" ht="14.25" customHeight="1"/>
    <row r="909" s="384" customFormat="1" ht="14.25" customHeight="1"/>
    <row r="910" s="384" customFormat="1" ht="14.25" customHeight="1"/>
    <row r="911" s="384" customFormat="1" ht="14.25" customHeight="1"/>
    <row r="912" s="384" customFormat="1" ht="14.25" customHeight="1"/>
    <row r="913" s="384" customFormat="1" ht="14.25" customHeight="1"/>
    <row r="914" s="384" customFormat="1" ht="14.25" customHeight="1"/>
    <row r="915" s="384" customFormat="1" ht="14.25" customHeight="1"/>
    <row r="916" s="384" customFormat="1" ht="14.25" customHeight="1"/>
    <row r="917" s="384" customFormat="1" ht="14.25" customHeight="1"/>
    <row r="918" s="384" customFormat="1" ht="14.25" customHeight="1"/>
    <row r="919" s="384" customFormat="1" ht="14.25" customHeight="1"/>
    <row r="920" s="384" customFormat="1" ht="14.25" customHeight="1"/>
    <row r="921" s="384" customFormat="1" ht="14.25" customHeight="1"/>
    <row r="922" s="384" customFormat="1" ht="14.25" customHeight="1"/>
    <row r="923" s="384" customFormat="1" ht="14.25" customHeight="1"/>
    <row r="924" s="384" customFormat="1" ht="14.25" customHeight="1"/>
    <row r="925" s="384" customFormat="1" ht="14.25" customHeight="1"/>
    <row r="926" s="384" customFormat="1" ht="14.25" customHeight="1"/>
    <row r="927" s="384" customFormat="1" ht="14.25" customHeight="1"/>
    <row r="928" s="384" customFormat="1" ht="14.25" customHeight="1"/>
    <row r="929" s="384" customFormat="1" ht="14.25" customHeight="1"/>
    <row r="930" s="384" customFormat="1" ht="14.25" customHeight="1"/>
    <row r="931" s="384" customFormat="1" ht="14.25" customHeight="1"/>
    <row r="932" s="384" customFormat="1" ht="14.25" customHeight="1"/>
    <row r="933" s="384" customFormat="1" ht="14.25" customHeight="1"/>
    <row r="934" s="384" customFormat="1" ht="14.25" customHeight="1"/>
    <row r="935" s="384" customFormat="1" ht="14.25" customHeight="1"/>
    <row r="936" s="384" customFormat="1" ht="14.25" customHeight="1"/>
    <row r="937" s="384" customFormat="1" ht="14.25" customHeight="1"/>
    <row r="938" s="384" customFormat="1" ht="14.25" customHeight="1"/>
    <row r="939" s="384" customFormat="1" ht="14.25" customHeight="1"/>
    <row r="940" s="384" customFormat="1" ht="14.25" customHeight="1"/>
    <row r="941" s="384" customFormat="1" ht="14.25" customHeight="1"/>
    <row r="942" s="384" customFormat="1" ht="14.25" customHeight="1"/>
    <row r="943" s="384" customFormat="1" ht="14.25" customHeight="1"/>
    <row r="944" s="384" customFormat="1" ht="14.25" customHeight="1"/>
    <row r="945" s="384" customFormat="1" ht="14.25" customHeight="1"/>
    <row r="946" s="384" customFormat="1" ht="14.25" customHeight="1"/>
    <row r="947" s="384" customFormat="1" ht="14.25" customHeight="1"/>
    <row r="948" s="384" customFormat="1" ht="14.25" customHeight="1"/>
    <row r="949" s="384" customFormat="1" ht="14.25" customHeight="1"/>
    <row r="950" s="384" customFormat="1" ht="14.25" customHeight="1"/>
    <row r="951" s="384" customFormat="1" ht="14.25" customHeight="1"/>
    <row r="952" s="384" customFormat="1" ht="14.25" customHeight="1"/>
    <row r="953" s="384" customFormat="1" ht="14.25" customHeight="1"/>
    <row r="954" s="384" customFormat="1" ht="14.25" customHeight="1"/>
    <row r="955" s="384" customFormat="1" ht="14.25" customHeight="1"/>
    <row r="956" s="384" customFormat="1" ht="14.25" customHeight="1"/>
    <row r="957" s="384" customFormat="1" ht="14.25" customHeight="1"/>
    <row r="958" s="384" customFormat="1" ht="14.25" customHeight="1"/>
    <row r="959" s="384" customFormat="1" ht="14.25" customHeight="1"/>
    <row r="960" s="384" customFormat="1" ht="14.25" customHeight="1"/>
    <row r="961" s="384" customFormat="1" ht="14.25" customHeight="1"/>
    <row r="962" s="384" customFormat="1" ht="14.25" customHeight="1"/>
    <row r="963" s="384" customFormat="1" ht="14.25" customHeight="1"/>
    <row r="964" s="384" customFormat="1" ht="14.25" customHeight="1"/>
    <row r="965" s="384" customFormat="1" ht="14.25" customHeight="1"/>
    <row r="966" s="384" customFormat="1" ht="14.25" customHeight="1"/>
    <row r="967" s="384" customFormat="1" ht="14.25" customHeight="1"/>
    <row r="968" s="384" customFormat="1" ht="14.25" customHeight="1"/>
    <row r="969" s="384" customFormat="1" ht="14.25" customHeight="1"/>
    <row r="970" s="384" customFormat="1" ht="14.25" customHeight="1"/>
    <row r="971" s="384" customFormat="1" ht="14.25" customHeight="1"/>
    <row r="972" s="384" customFormat="1" ht="14.25" customHeight="1"/>
    <row r="973" s="384" customFormat="1" ht="14.25" customHeight="1"/>
    <row r="974" s="384" customFormat="1" ht="14.25" customHeight="1"/>
    <row r="975" s="384" customFormat="1" ht="14.25" customHeight="1"/>
    <row r="976" s="384" customFormat="1" ht="14.25" customHeight="1"/>
    <row r="977" s="384" customFormat="1" ht="14.25" customHeight="1"/>
    <row r="978" s="384" customFormat="1" ht="14.25" customHeight="1"/>
    <row r="979" s="384" customFormat="1" ht="14.25" customHeight="1"/>
    <row r="980" s="384" customFormat="1" ht="14.25" customHeight="1"/>
    <row r="981" s="384" customFormat="1" ht="14.25" customHeight="1"/>
    <row r="982" s="384" customFormat="1" ht="14.25" customHeight="1"/>
    <row r="983" s="384" customFormat="1" ht="14.25" customHeight="1"/>
    <row r="984" s="384" customFormat="1" ht="14.25" customHeight="1"/>
    <row r="985" s="384" customFormat="1" ht="14.25" customHeight="1"/>
    <row r="986" s="384" customFormat="1" ht="14.25" customHeight="1"/>
    <row r="987" s="384" customFormat="1" ht="14.25" customHeight="1"/>
    <row r="988" s="384" customFormat="1" ht="14.25" customHeight="1"/>
    <row r="989" s="384" customFormat="1" ht="14.25" customHeight="1"/>
    <row r="990" s="384" customFormat="1" ht="14.25" customHeight="1"/>
    <row r="991" s="384" customFormat="1" ht="14.25" customHeight="1"/>
    <row r="992" s="384" customFormat="1" ht="14.25" customHeight="1"/>
    <row r="993" s="384" customFormat="1" ht="14.25" customHeight="1"/>
    <row r="994" s="384" customFormat="1" ht="14.25" customHeight="1"/>
    <row r="995" s="384" customFormat="1" ht="14.25" customHeight="1"/>
    <row r="996" s="384" customFormat="1" ht="14.25" customHeight="1"/>
    <row r="997" s="384" customFormat="1" ht="14.25" customHeight="1"/>
    <row r="998" s="384" customFormat="1" ht="14.25" customHeight="1"/>
    <row r="999" s="384" customFormat="1" ht="14.25" customHeight="1"/>
    <row r="1000" s="384" customFormat="1" ht="14.25" customHeight="1"/>
    <row r="1001" s="384" customFormat="1" ht="14.25" customHeight="1"/>
    <row r="1002" s="384" customFormat="1" ht="14.25" customHeight="1"/>
    <row r="1003" s="384" customFormat="1" ht="14.25" customHeight="1"/>
    <row r="1004" s="384" customFormat="1" ht="14.25" customHeight="1"/>
    <row r="1005" s="384" customFormat="1" ht="14.25" customHeight="1"/>
    <row r="1006" s="384" customFormat="1" ht="14.25" customHeight="1"/>
    <row r="1007" s="384" customFormat="1" ht="14.25" customHeight="1"/>
    <row r="1008" s="384" customFormat="1" ht="14.25" customHeight="1"/>
    <row r="1009" s="384" customFormat="1" ht="14.25" customHeight="1"/>
    <row r="1010" s="384" customFormat="1" ht="14.25" customHeight="1"/>
    <row r="1011" s="384" customFormat="1" ht="14.25" customHeight="1"/>
    <row r="1012" s="384" customFormat="1" ht="14.25" customHeight="1"/>
    <row r="1013" s="384" customFormat="1" ht="14.25" customHeight="1"/>
  </sheetData>
  <mergeCells count="20">
    <mergeCell ref="R6:T6"/>
    <mergeCell ref="L7:M7"/>
    <mergeCell ref="R7:S7"/>
    <mergeCell ref="L24:M24"/>
    <mergeCell ref="L3:M3"/>
    <mergeCell ref="L4:M4"/>
    <mergeCell ref="L5:M5"/>
    <mergeCell ref="L6:M6"/>
    <mergeCell ref="R8:S8"/>
    <mergeCell ref="R9:S9"/>
    <mergeCell ref="R10:S10"/>
    <mergeCell ref="L22:M22"/>
    <mergeCell ref="L23:M23"/>
    <mergeCell ref="L45:M45"/>
    <mergeCell ref="L25:M25"/>
    <mergeCell ref="L26:M26"/>
    <mergeCell ref="L41:M41"/>
    <mergeCell ref="L42:M42"/>
    <mergeCell ref="L43:M43"/>
    <mergeCell ref="L44:M44"/>
  </mergeCells>
  <hyperlinks>
    <hyperlink ref="A26" r:id="rId1" xr:uid="{289012D5-CA5E-45FA-8655-17537EDCAA28}"/>
  </hyperlinks>
  <pageMargins left="0.7" right="0.7" top="0.75" bottom="0.75" header="0" footer="0"/>
  <pageSetup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AB6-64B3-4ECD-A05F-448C6F816A95}">
  <sheetPr>
    <outlinePr summaryBelow="0" summaryRight="0"/>
  </sheetPr>
  <dimension ref="B1:L1000"/>
  <sheetViews>
    <sheetView workbookViewId="0">
      <selection activeCell="H46" sqref="H46"/>
    </sheetView>
  </sheetViews>
  <sheetFormatPr defaultColWidth="14.42578125" defaultRowHeight="15" customHeight="1"/>
  <cols>
    <col min="1" max="2" width="14.42578125" style="384"/>
    <col min="3" max="3" width="30.28515625" style="384" customWidth="1"/>
    <col min="4" max="4" width="17.85546875" style="384" customWidth="1"/>
    <col min="5" max="5" width="15.7109375" style="384" bestFit="1" customWidth="1"/>
    <col min="6" max="6" width="18.140625" style="384" customWidth="1"/>
    <col min="7" max="7" width="18.85546875" style="384" customWidth="1"/>
    <col min="8" max="8" width="20.7109375" style="384" customWidth="1"/>
    <col min="9" max="9" width="14.42578125" style="384"/>
    <col min="10" max="10" width="17.85546875" style="384" customWidth="1"/>
    <col min="11" max="11" width="29" style="384" customWidth="1"/>
    <col min="12" max="16384" width="14.42578125" style="384"/>
  </cols>
  <sheetData>
    <row r="1" spans="2:12" ht="14.25" customHeight="1"/>
    <row r="2" spans="2:12" ht="14.25" customHeight="1"/>
    <row r="3" spans="2:12" ht="14.25" customHeight="1">
      <c r="D3" s="543"/>
      <c r="E3" s="543"/>
      <c r="F3" s="543"/>
      <c r="G3" s="543"/>
      <c r="H3" s="543"/>
      <c r="I3" s="543"/>
    </row>
    <row r="4" spans="2:12" ht="14.25" customHeight="1" thickBot="1"/>
    <row r="5" spans="2:12" ht="14.25" customHeight="1" thickBot="1">
      <c r="C5" s="885" t="s">
        <v>1017</v>
      </c>
      <c r="F5" s="1830" t="s">
        <v>607</v>
      </c>
      <c r="G5" s="1831"/>
      <c r="H5" s="886">
        <v>0.57999999999999996</v>
      </c>
      <c r="I5" s="448"/>
      <c r="J5" s="1832" t="s">
        <v>613</v>
      </c>
      <c r="K5" s="1833"/>
      <c r="L5" s="1834"/>
    </row>
    <row r="6" spans="2:12" ht="14.25" customHeight="1" thickBot="1">
      <c r="F6" s="1825" t="s">
        <v>608</v>
      </c>
      <c r="G6" s="1826"/>
      <c r="H6" s="887">
        <v>180</v>
      </c>
      <c r="I6" s="448" t="s">
        <v>1018</v>
      </c>
      <c r="J6" s="1827" t="s">
        <v>484</v>
      </c>
      <c r="K6" s="1826"/>
      <c r="L6" s="888">
        <v>0.4</v>
      </c>
    </row>
    <row r="7" spans="2:12" ht="14.25" customHeight="1">
      <c r="C7" s="889" t="s">
        <v>483</v>
      </c>
      <c r="D7" s="890">
        <f>0.3*'[2]FF - Esc 1'!B49</f>
        <v>1950000</v>
      </c>
      <c r="F7" s="1835" t="s">
        <v>610</v>
      </c>
      <c r="G7" s="1826"/>
      <c r="H7" s="887">
        <v>360</v>
      </c>
      <c r="I7" s="448"/>
      <c r="J7" s="1827" t="s">
        <v>617</v>
      </c>
      <c r="K7" s="1826"/>
      <c r="L7" s="891">
        <v>365</v>
      </c>
    </row>
    <row r="8" spans="2:12" ht="14.25" customHeight="1">
      <c r="C8" s="892" t="s">
        <v>102</v>
      </c>
      <c r="D8" s="893">
        <f>H9</f>
        <v>0.66410000000000013</v>
      </c>
      <c r="F8" s="1825" t="s">
        <v>612</v>
      </c>
      <c r="G8" s="1826"/>
      <c r="H8" s="887">
        <v>360</v>
      </c>
      <c r="I8" s="448"/>
      <c r="J8" s="1827" t="s">
        <v>618</v>
      </c>
      <c r="K8" s="1826"/>
      <c r="L8" s="891">
        <v>30</v>
      </c>
    </row>
    <row r="9" spans="2:12" ht="14.25" customHeight="1" thickBot="1">
      <c r="B9" s="894" t="s">
        <v>1019</v>
      </c>
      <c r="C9" s="895" t="s">
        <v>614</v>
      </c>
      <c r="D9" s="896">
        <v>5</v>
      </c>
      <c r="F9" s="1828" t="s">
        <v>616</v>
      </c>
      <c r="G9" s="1829"/>
      <c r="H9" s="897">
        <f>((1+H5*H6/H8)^(H7/H6))-1</f>
        <v>0.66410000000000013</v>
      </c>
      <c r="I9" s="448"/>
      <c r="J9" s="1828" t="s">
        <v>619</v>
      </c>
      <c r="K9" s="1829"/>
      <c r="L9" s="897">
        <f>(1+L6)^(L8/L7)-1</f>
        <v>2.8041208506157433E-2</v>
      </c>
    </row>
    <row r="10" spans="2:12" ht="14.25" customHeight="1"/>
    <row r="11" spans="2:12" ht="14.25" customHeight="1" thickBot="1"/>
    <row r="12" spans="2:12" ht="14.25" customHeight="1" thickBot="1">
      <c r="C12" s="885" t="s">
        <v>103</v>
      </c>
      <c r="D12" s="894" t="s">
        <v>606</v>
      </c>
    </row>
    <row r="13" spans="2:12" ht="14.25" customHeight="1" thickBot="1">
      <c r="C13" s="894"/>
      <c r="D13" s="448"/>
    </row>
    <row r="14" spans="2:12" ht="14.25" customHeight="1" thickBot="1">
      <c r="C14" s="898" t="s">
        <v>105</v>
      </c>
      <c r="D14" s="899" t="s">
        <v>428</v>
      </c>
      <c r="E14" s="899" t="s">
        <v>109</v>
      </c>
      <c r="F14" s="899" t="s">
        <v>1020</v>
      </c>
      <c r="G14" s="899" t="s">
        <v>107</v>
      </c>
      <c r="H14" s="900" t="s">
        <v>1021</v>
      </c>
    </row>
    <row r="15" spans="2:12" ht="14.25" customHeight="1">
      <c r="C15" s="901">
        <v>1</v>
      </c>
      <c r="D15" s="902">
        <f>$D$7</f>
        <v>1950000</v>
      </c>
      <c r="E15" s="903">
        <f>$D$7*$D$8/(1-(1+$D$8)^(-$D$9))</f>
        <v>1405100.8498785459</v>
      </c>
      <c r="F15" s="903">
        <f>D15*$D$8</f>
        <v>1294995.0000000002</v>
      </c>
      <c r="G15" s="903">
        <f>E15-F15</f>
        <v>110105.84987854562</v>
      </c>
      <c r="H15" s="904">
        <f>D15-G15</f>
        <v>1839894.1501214544</v>
      </c>
    </row>
    <row r="16" spans="2:12" ht="14.25" customHeight="1">
      <c r="C16" s="905">
        <v>2</v>
      </c>
      <c r="D16" s="906">
        <f>H15</f>
        <v>1839894.1501214544</v>
      </c>
      <c r="E16" s="907">
        <f>$D$7*$D$8/(1-(1+$D$8)^(-$D$9))</f>
        <v>1405100.8498785459</v>
      </c>
      <c r="F16" s="907">
        <f>D16*$D$8</f>
        <v>1221873.7050956581</v>
      </c>
      <c r="G16" s="907">
        <f>E16-F16</f>
        <v>183227.14478288777</v>
      </c>
      <c r="H16" s="908">
        <f>D16-G16</f>
        <v>1656667.0053385666</v>
      </c>
    </row>
    <row r="17" spans="3:8" ht="14.25" customHeight="1">
      <c r="C17" s="909">
        <v>3</v>
      </c>
      <c r="D17" s="906">
        <f>H16</f>
        <v>1656667.0053385666</v>
      </c>
      <c r="E17" s="907">
        <f>$D$7*$D$8/(1-(1+$D$8)^(-$D$9))</f>
        <v>1405100.8498785459</v>
      </c>
      <c r="F17" s="907">
        <f>D17*$D$8</f>
        <v>1100192.5582453422</v>
      </c>
      <c r="G17" s="907">
        <f>E17-F17</f>
        <v>304908.29163320363</v>
      </c>
      <c r="H17" s="908">
        <f>D17-G17</f>
        <v>1351758.713705363</v>
      </c>
    </row>
    <row r="18" spans="3:8" ht="14.25" customHeight="1">
      <c r="C18" s="905">
        <v>4</v>
      </c>
      <c r="D18" s="906">
        <f>H17</f>
        <v>1351758.713705363</v>
      </c>
      <c r="E18" s="907">
        <f>$D$7*$D$8/(1-(1+$D$8)^(-$D$9))</f>
        <v>1405100.8498785459</v>
      </c>
      <c r="F18" s="907">
        <f>D18*$D$8</f>
        <v>897702.96177173173</v>
      </c>
      <c r="G18" s="907">
        <f>E18-F18</f>
        <v>507397.88810681412</v>
      </c>
      <c r="H18" s="908">
        <f>D18-G18</f>
        <v>844360.82559854886</v>
      </c>
    </row>
    <row r="19" spans="3:8" ht="14.25" customHeight="1" thickBot="1">
      <c r="C19" s="910">
        <v>5</v>
      </c>
      <c r="D19" s="911">
        <f>H18</f>
        <v>844360.82559854886</v>
      </c>
      <c r="E19" s="912">
        <f>$D$7*$D$8/(1-(1+$D$8)^(-$D$9))</f>
        <v>1405100.8498785459</v>
      </c>
      <c r="F19" s="912">
        <f>D19*$D$8</f>
        <v>560740.0242799964</v>
      </c>
      <c r="G19" s="912">
        <f>E19-F19</f>
        <v>844360.82559854945</v>
      </c>
      <c r="H19" s="913">
        <f>D19-G19</f>
        <v>0</v>
      </c>
    </row>
    <row r="20" spans="3:8" ht="14.25" customHeight="1" thickBot="1">
      <c r="C20" s="914" t="s">
        <v>1022</v>
      </c>
      <c r="D20" s="915"/>
      <c r="E20" s="916">
        <f>SUM(E15:E19)</f>
        <v>7025504.2493927293</v>
      </c>
      <c r="F20" s="916">
        <f>SUM(F15:F19)</f>
        <v>5075504.2493927293</v>
      </c>
      <c r="G20" s="916">
        <f>SUM(G15:G19)</f>
        <v>1950000.0000000005</v>
      </c>
      <c r="H20" s="917"/>
    </row>
    <row r="21" spans="3:8" ht="14.25" customHeight="1" thickBot="1"/>
    <row r="22" spans="3:8" ht="14.25" customHeight="1" thickBot="1">
      <c r="C22" s="885" t="s">
        <v>108</v>
      </c>
      <c r="D22" s="894" t="s">
        <v>1013</v>
      </c>
    </row>
    <row r="23" spans="3:8" ht="14.25" customHeight="1" thickBot="1">
      <c r="C23" s="894"/>
      <c r="D23" s="448"/>
    </row>
    <row r="24" spans="3:8" ht="14.25" customHeight="1" thickBot="1">
      <c r="C24" s="918" t="s">
        <v>105</v>
      </c>
      <c r="D24" s="919" t="s">
        <v>428</v>
      </c>
      <c r="E24" s="919" t="s">
        <v>109</v>
      </c>
      <c r="F24" s="919" t="s">
        <v>1020</v>
      </c>
      <c r="G24" s="919" t="s">
        <v>107</v>
      </c>
      <c r="H24" s="920" t="s">
        <v>1021</v>
      </c>
    </row>
    <row r="25" spans="3:8" ht="14.25" customHeight="1">
      <c r="C25" s="901">
        <v>1</v>
      </c>
      <c r="D25" s="902">
        <f>$D$7</f>
        <v>1950000</v>
      </c>
      <c r="E25" s="903">
        <f>F25+G25</f>
        <v>1684995.0000000002</v>
      </c>
      <c r="F25" s="903">
        <f>D25*$D$8</f>
        <v>1294995.0000000002</v>
      </c>
      <c r="G25" s="903">
        <f>$D$7/$D$9</f>
        <v>390000</v>
      </c>
      <c r="H25" s="904">
        <f>D25-G25</f>
        <v>1560000</v>
      </c>
    </row>
    <row r="26" spans="3:8" ht="14.25" customHeight="1">
      <c r="C26" s="905">
        <v>2</v>
      </c>
      <c r="D26" s="906">
        <f>H25</f>
        <v>1560000</v>
      </c>
      <c r="E26" s="907">
        <f>F26+G26</f>
        <v>1425996.0000000002</v>
      </c>
      <c r="F26" s="907">
        <f>D26*$D$8</f>
        <v>1035996.0000000002</v>
      </c>
      <c r="G26" s="907">
        <f>$D$7/$D$9</f>
        <v>390000</v>
      </c>
      <c r="H26" s="908">
        <f>D26-G26</f>
        <v>1170000</v>
      </c>
    </row>
    <row r="27" spans="3:8" ht="14.25" customHeight="1">
      <c r="C27" s="905">
        <v>3</v>
      </c>
      <c r="D27" s="906">
        <f>H26</f>
        <v>1170000</v>
      </c>
      <c r="E27" s="907">
        <f>F27+G27</f>
        <v>1166997</v>
      </c>
      <c r="F27" s="907">
        <f>D27*$D$8</f>
        <v>776997.00000000012</v>
      </c>
      <c r="G27" s="907">
        <f>$D$7/$D$9</f>
        <v>390000</v>
      </c>
      <c r="H27" s="908">
        <f>D27-G27</f>
        <v>780000</v>
      </c>
    </row>
    <row r="28" spans="3:8" ht="14.25" customHeight="1">
      <c r="C28" s="905">
        <v>4</v>
      </c>
      <c r="D28" s="906">
        <f>H27</f>
        <v>780000</v>
      </c>
      <c r="E28" s="907">
        <f>F28+G28</f>
        <v>907998.00000000012</v>
      </c>
      <c r="F28" s="907">
        <f>D28*$D$8</f>
        <v>517998.00000000012</v>
      </c>
      <c r="G28" s="907">
        <f>$D$7/$D$9</f>
        <v>390000</v>
      </c>
      <c r="H28" s="908">
        <f>D28-G28</f>
        <v>390000</v>
      </c>
    </row>
    <row r="29" spans="3:8" ht="14.25" customHeight="1" thickBot="1">
      <c r="C29" s="921">
        <v>5</v>
      </c>
      <c r="D29" s="922">
        <f>H28</f>
        <v>390000</v>
      </c>
      <c r="E29" s="923">
        <f>F29+G29</f>
        <v>648999</v>
      </c>
      <c r="F29" s="923">
        <f>D29*$D$8</f>
        <v>258999.00000000006</v>
      </c>
      <c r="G29" s="923">
        <f>$D$7/$D$9</f>
        <v>390000</v>
      </c>
      <c r="H29" s="924">
        <f>D29-G29</f>
        <v>0</v>
      </c>
    </row>
    <row r="30" spans="3:8" ht="14.25" customHeight="1" thickBot="1">
      <c r="C30" s="914" t="s">
        <v>1022</v>
      </c>
      <c r="D30" s="915"/>
      <c r="E30" s="916">
        <f>SUM(E25:E29)</f>
        <v>5834985</v>
      </c>
      <c r="F30" s="916">
        <f>SUM(F25:F29)</f>
        <v>3884985.0000000005</v>
      </c>
      <c r="G30" s="916">
        <f>SUM(G25:G29)</f>
        <v>1950000</v>
      </c>
      <c r="H30" s="917"/>
    </row>
    <row r="31" spans="3:8" ht="14.25" customHeight="1"/>
    <row r="32" spans="3:8" ht="14.25" customHeight="1" thickBot="1"/>
    <row r="33" spans="2:10" ht="14.25" customHeight="1" thickBot="1">
      <c r="C33" s="885" t="s">
        <v>36</v>
      </c>
      <c r="D33" s="894" t="s">
        <v>1023</v>
      </c>
    </row>
    <row r="34" spans="2:10" ht="14.25" customHeight="1" thickBot="1">
      <c r="C34" s="925"/>
      <c r="D34" s="448"/>
    </row>
    <row r="35" spans="2:10" ht="14.25" customHeight="1" thickBot="1">
      <c r="C35" s="898" t="s">
        <v>105</v>
      </c>
      <c r="D35" s="899" t="s">
        <v>428</v>
      </c>
      <c r="E35" s="899" t="s">
        <v>109</v>
      </c>
      <c r="F35" s="899" t="s">
        <v>1020</v>
      </c>
      <c r="G35" s="899" t="s">
        <v>107</v>
      </c>
      <c r="H35" s="900" t="s">
        <v>1021</v>
      </c>
    </row>
    <row r="36" spans="2:10" ht="14.25" customHeight="1">
      <c r="C36" s="901">
        <v>1</v>
      </c>
      <c r="D36" s="902">
        <f>$D$7</f>
        <v>1950000</v>
      </c>
      <c r="E36" s="903">
        <f>F36+G36</f>
        <v>1294995.0000000002</v>
      </c>
      <c r="F36" s="903">
        <f>D36*$D$8</f>
        <v>1294995.0000000002</v>
      </c>
      <c r="G36" s="903">
        <f>IF(C36=D$9,D36,0)</f>
        <v>0</v>
      </c>
      <c r="H36" s="904">
        <f>D36-G36</f>
        <v>1950000</v>
      </c>
    </row>
    <row r="37" spans="2:10" ht="14.25" customHeight="1">
      <c r="C37" s="905">
        <v>2</v>
      </c>
      <c r="D37" s="906">
        <f>H36</f>
        <v>1950000</v>
      </c>
      <c r="E37" s="926">
        <f>F37+G37</f>
        <v>1294995.0000000002</v>
      </c>
      <c r="F37" s="907">
        <f>D37*$D$8</f>
        <v>1294995.0000000002</v>
      </c>
      <c r="G37" s="926">
        <f>IF(C37=D$9,D37,0)</f>
        <v>0</v>
      </c>
      <c r="H37" s="908">
        <f>D37-G37</f>
        <v>1950000</v>
      </c>
    </row>
    <row r="38" spans="2:10" ht="14.25" customHeight="1">
      <c r="C38" s="909">
        <v>3</v>
      </c>
      <c r="D38" s="906">
        <f>H37</f>
        <v>1950000</v>
      </c>
      <c r="E38" s="926">
        <f>F38+G38</f>
        <v>1294995.0000000002</v>
      </c>
      <c r="F38" s="907">
        <f>D38*$D$8</f>
        <v>1294995.0000000002</v>
      </c>
      <c r="G38" s="926">
        <f>IF(C38=D$9,D38,0)</f>
        <v>0</v>
      </c>
      <c r="H38" s="927">
        <f>D38-G38</f>
        <v>1950000</v>
      </c>
    </row>
    <row r="39" spans="2:10" ht="14.25" customHeight="1">
      <c r="C39" s="905">
        <v>4</v>
      </c>
      <c r="D39" s="906">
        <f>H38</f>
        <v>1950000</v>
      </c>
      <c r="E39" s="926">
        <f>F39+G39</f>
        <v>1294995.0000000002</v>
      </c>
      <c r="F39" s="907">
        <f>D39*$D$8</f>
        <v>1294995.0000000002</v>
      </c>
      <c r="G39" s="926">
        <f>IF(C39=D$9,D39,0)</f>
        <v>0</v>
      </c>
      <c r="H39" s="908">
        <f>D39-G39</f>
        <v>1950000</v>
      </c>
    </row>
    <row r="40" spans="2:10" ht="14.25" customHeight="1" thickBot="1">
      <c r="C40" s="928">
        <v>5</v>
      </c>
      <c r="D40" s="922">
        <f>H39</f>
        <v>1950000</v>
      </c>
      <c r="E40" s="929">
        <f>F40+G40</f>
        <v>3244995</v>
      </c>
      <c r="F40" s="923">
        <f>D40*$D$8</f>
        <v>1294995.0000000002</v>
      </c>
      <c r="G40" s="929">
        <f>IF(C40=D$9,D40,0)</f>
        <v>1950000</v>
      </c>
      <c r="H40" s="930">
        <f>D40-G40</f>
        <v>0</v>
      </c>
    </row>
    <row r="41" spans="2:10" ht="14.25" customHeight="1" thickBot="1">
      <c r="C41" s="914" t="s">
        <v>1022</v>
      </c>
      <c r="D41" s="915"/>
      <c r="E41" s="916">
        <f>SUM(E36:E40)</f>
        <v>8424975</v>
      </c>
      <c r="F41" s="916">
        <f>SUM(F36:F40)</f>
        <v>6474975.0000000009</v>
      </c>
      <c r="G41" s="916">
        <f>SUM(G36:G40)</f>
        <v>1950000</v>
      </c>
      <c r="H41" s="917"/>
    </row>
    <row r="42" spans="2:10" ht="14.25" customHeight="1"/>
    <row r="43" spans="2:10" ht="14.25" customHeight="1">
      <c r="B43" s="448"/>
      <c r="C43" s="448"/>
      <c r="D43" s="448"/>
      <c r="E43" s="448"/>
      <c r="F43" s="448"/>
      <c r="G43" s="448"/>
      <c r="H43" s="448"/>
      <c r="I43" s="448"/>
      <c r="J43" s="448"/>
    </row>
    <row r="44" spans="2:10" ht="14.25" customHeight="1">
      <c r="B44" s="448"/>
      <c r="C44" s="448"/>
      <c r="D44" s="448"/>
      <c r="E44" s="448"/>
      <c r="F44" s="448"/>
      <c r="G44" s="448"/>
      <c r="H44" s="448"/>
      <c r="I44" s="448"/>
      <c r="J44" s="448"/>
    </row>
    <row r="45" spans="2:10" ht="14.25" customHeight="1">
      <c r="B45" s="448"/>
      <c r="C45" s="448"/>
      <c r="D45" s="448"/>
      <c r="E45" s="448"/>
      <c r="F45" s="448"/>
      <c r="G45" s="448"/>
      <c r="H45" s="448"/>
      <c r="I45" s="448"/>
      <c r="J45" s="448"/>
    </row>
    <row r="46" spans="2:10" ht="14.25" customHeight="1">
      <c r="B46" s="448"/>
      <c r="C46" s="448"/>
      <c r="D46" s="448"/>
      <c r="E46" s="448"/>
      <c r="F46" s="448"/>
      <c r="G46" s="448"/>
      <c r="H46" s="448"/>
      <c r="I46" s="448"/>
      <c r="J46" s="448"/>
    </row>
    <row r="47" spans="2:10" ht="14.25" customHeight="1">
      <c r="B47" s="448"/>
      <c r="C47" s="448"/>
      <c r="D47" s="448"/>
      <c r="E47" s="448"/>
      <c r="F47" s="448"/>
      <c r="G47" s="448"/>
      <c r="H47" s="448"/>
      <c r="I47" s="448"/>
      <c r="J47" s="448"/>
    </row>
    <row r="48" spans="2:10" ht="14.25" customHeight="1">
      <c r="B48" s="448"/>
      <c r="C48" s="448"/>
      <c r="D48" s="448"/>
      <c r="E48" s="448"/>
      <c r="F48" s="448"/>
      <c r="G48" s="448"/>
      <c r="H48" s="448"/>
      <c r="I48" s="448"/>
      <c r="J48" s="448"/>
    </row>
    <row r="49" spans="6:6" ht="14.25" customHeight="1"/>
    <row r="50" spans="6:6" ht="14.25" customHeight="1"/>
    <row r="51" spans="6:6" ht="14.25" customHeight="1"/>
    <row r="52" spans="6:6" ht="14.25" customHeight="1"/>
    <row r="53" spans="6:6" ht="14.25" customHeight="1"/>
    <row r="54" spans="6:6" ht="14.25" customHeight="1"/>
    <row r="55" spans="6:6" ht="14.25" customHeight="1"/>
    <row r="56" spans="6:6" ht="14.25" customHeight="1"/>
    <row r="57" spans="6:6" ht="14.25" customHeight="1"/>
    <row r="58" spans="6:6" ht="14.25" customHeight="1"/>
    <row r="59" spans="6:6" ht="14.25" customHeight="1"/>
    <row r="60" spans="6:6" ht="14.25" customHeight="1">
      <c r="F60" s="931">
        <f>G15</f>
        <v>110105.84987854562</v>
      </c>
    </row>
    <row r="61" spans="6:6" ht="14.25" customHeight="1"/>
    <row r="62" spans="6:6" ht="14.25" customHeight="1"/>
    <row r="63" spans="6:6" ht="14.25" customHeight="1"/>
    <row r="64" spans="6: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F8:G8"/>
    <mergeCell ref="J8:K8"/>
    <mergeCell ref="F9:G9"/>
    <mergeCell ref="J9:K9"/>
    <mergeCell ref="F5:G5"/>
    <mergeCell ref="J5:L5"/>
    <mergeCell ref="F6:G6"/>
    <mergeCell ref="J6:K6"/>
    <mergeCell ref="F7:G7"/>
    <mergeCell ref="J7:K7"/>
  </mergeCells>
  <pageMargins left="0.7" right="0.7" top="0.75" bottom="0.75" header="0" footer="0"/>
  <pageSetup orientation="landscape"/>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6FA1C-4F71-487B-B90D-3E07C7226D6A}">
  <dimension ref="A2:Y206"/>
  <sheetViews>
    <sheetView topLeftCell="A156" workbookViewId="0">
      <selection activeCell="E176" sqref="E176"/>
    </sheetView>
  </sheetViews>
  <sheetFormatPr defaultRowHeight="12.75"/>
  <cols>
    <col min="1" max="1" width="11.5703125" customWidth="1"/>
    <col min="2" max="2" width="14.5703125" customWidth="1"/>
    <col min="3" max="3" width="35.42578125" bestFit="1" customWidth="1"/>
    <col min="4" max="4" width="37.28515625" bestFit="1" customWidth="1"/>
    <col min="5" max="5" width="19.5703125" customWidth="1"/>
    <col min="6" max="6" width="23.140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c r="N13" s="597" t="s">
        <v>506</v>
      </c>
      <c r="O13" s="351"/>
    </row>
    <row r="14" spans="1:15">
      <c r="M14" s="596"/>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3:21">
      <c r="M34" s="351"/>
    </row>
    <row r="35" spans="3:21">
      <c r="O35" s="1755"/>
      <c r="P35" s="1714"/>
      <c r="Q35" s="1714"/>
      <c r="R35" s="1714"/>
      <c r="S35" s="1714"/>
    </row>
    <row r="36" spans="3:21">
      <c r="O36" s="700"/>
      <c r="P36" s="700"/>
      <c r="Q36" s="700"/>
      <c r="R36" s="700"/>
      <c r="S36" s="700"/>
    </row>
    <row r="37" spans="3:21">
      <c r="C37" s="351"/>
      <c r="O37" s="702"/>
      <c r="P37" s="702"/>
      <c r="Q37" s="702"/>
      <c r="R37" s="702"/>
      <c r="S37" s="702"/>
    </row>
    <row r="38" spans="3:21">
      <c r="C38" s="351"/>
    </row>
    <row r="39" spans="3:21">
      <c r="C39" s="351"/>
    </row>
    <row r="40" spans="3:21">
      <c r="C40" s="208"/>
    </row>
    <row r="41" spans="3:21">
      <c r="C41" s="208"/>
      <c r="M41" s="1755"/>
      <c r="N41" s="1755"/>
      <c r="O41" s="1755"/>
      <c r="P41" s="701"/>
      <c r="Q41" s="701"/>
      <c r="R41" s="701"/>
      <c r="S41" s="701"/>
      <c r="T41" s="300"/>
      <c r="U41" s="301"/>
    </row>
    <row r="42" spans="3:21">
      <c r="M42" s="1755"/>
      <c r="N42" s="1714"/>
      <c r="O42" s="1714"/>
    </row>
    <row r="43" spans="3:21">
      <c r="M43" s="700"/>
      <c r="N43" s="700"/>
      <c r="O43" s="700"/>
    </row>
    <row r="44" spans="3:21">
      <c r="M44" s="703"/>
      <c r="N44" s="702"/>
      <c r="O44" s="702"/>
    </row>
    <row r="45" spans="3:21">
      <c r="M45" s="1755"/>
      <c r="N45" s="1714"/>
      <c r="O45" s="1714"/>
    </row>
    <row r="46" spans="3:21">
      <c r="M46" s="700"/>
      <c r="N46" s="701"/>
      <c r="O46" s="701"/>
    </row>
    <row r="47" spans="3:21">
      <c r="M47" s="700"/>
      <c r="N47" s="701"/>
      <c r="O47" s="701"/>
    </row>
    <row r="48" spans="3: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I57" s="351"/>
      <c r="M57" s="731" t="s">
        <v>832</v>
      </c>
      <c r="N57" s="583"/>
      <c r="U57" s="4"/>
      <c r="V57" s="547"/>
      <c r="W57" s="548"/>
    </row>
    <row r="58" spans="4:23" ht="14.25">
      <c r="I58" s="667"/>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10811.7</v>
      </c>
      <c r="K67" s="693">
        <f>J67*(1+K66)</f>
        <v>8409.1</v>
      </c>
      <c r="L67" s="692">
        <f>K67*(1+L66)</f>
        <v>11212.133333333333</v>
      </c>
      <c r="M67" s="692">
        <f>L67*(1+M66)</f>
        <v>14949.511111111111</v>
      </c>
      <c r="N67" s="692">
        <f>M67*(1+N66)</f>
        <v>19932.681481481479</v>
      </c>
      <c r="U67" s="551"/>
      <c r="V67" s="552"/>
      <c r="W67" s="552"/>
      <c r="X67" s="552"/>
      <c r="Y67" s="553"/>
    </row>
    <row r="68" spans="1:25" ht="15">
      <c r="U68" s="554"/>
      <c r="V68" s="555"/>
      <c r="W68" s="556"/>
      <c r="X68" s="555"/>
      <c r="Y68" s="557"/>
    </row>
    <row r="69" spans="1:25" ht="15">
      <c r="G69" s="697" t="s">
        <v>830</v>
      </c>
      <c r="H69" s="698">
        <f>M86*1.8</f>
        <v>10811.7</v>
      </c>
      <c r="I69" s="695"/>
      <c r="J69" s="694"/>
      <c r="K69" s="695"/>
      <c r="M69" s="259" t="s">
        <v>0</v>
      </c>
      <c r="N69" s="260">
        <v>0.12</v>
      </c>
      <c r="O69" s="261" t="s">
        <v>3</v>
      </c>
      <c r="P69" s="261" t="s">
        <v>3</v>
      </c>
      <c r="U69" s="554"/>
      <c r="V69" s="558"/>
      <c r="W69" s="556"/>
      <c r="X69" s="555"/>
      <c r="Y69" s="557"/>
    </row>
    <row r="70" spans="1:25" ht="15">
      <c r="G70" s="548"/>
      <c r="H70" s="694"/>
      <c r="I70" s="695"/>
      <c r="J70" s="694"/>
      <c r="K70" s="695"/>
      <c r="M70" s="21"/>
      <c r="N70" s="23" t="s">
        <v>3</v>
      </c>
      <c r="O70" s="261">
        <f>(1+N69/6)^6</f>
        <v>1.1261624192640001</v>
      </c>
      <c r="P70" s="266">
        <f>O70-1</f>
        <v>0.12616241926400007</v>
      </c>
      <c r="U70" s="559"/>
      <c r="V70" s="560"/>
      <c r="W70" s="556"/>
      <c r="X70" s="561"/>
      <c r="Y70" s="557"/>
    </row>
    <row r="71" spans="1:25" ht="14.25">
      <c r="A71" s="767" t="s">
        <v>865</v>
      </c>
      <c r="B71" s="767" t="s">
        <v>1121</v>
      </c>
      <c r="C71" s="767"/>
      <c r="D71" s="257"/>
      <c r="G71" s="548"/>
      <c r="H71" s="694"/>
      <c r="I71" s="695"/>
      <c r="J71" s="694"/>
      <c r="K71" s="695"/>
      <c r="M71" s="21"/>
      <c r="N71" s="23"/>
    </row>
    <row r="72" spans="1:25">
      <c r="A72" s="257"/>
      <c r="B72" s="767"/>
      <c r="C72" s="257"/>
      <c r="D72" s="257"/>
      <c r="M72" s="21"/>
      <c r="N72" s="39"/>
    </row>
    <row r="73" spans="1:25" ht="14.25">
      <c r="A73" s="257"/>
      <c r="B73" s="767"/>
      <c r="C73" s="257"/>
      <c r="D73" s="257"/>
      <c r="G73" s="798" t="s">
        <v>902</v>
      </c>
      <c r="H73" s="799"/>
      <c r="I73" s="799"/>
      <c r="J73" s="800"/>
      <c r="K73" s="800"/>
      <c r="M73" s="21"/>
      <c r="N73" s="23"/>
    </row>
    <row r="74" spans="1:25" ht="14.25">
      <c r="A74" s="257"/>
      <c r="B74" s="767"/>
      <c r="C74" s="257"/>
      <c r="D74" s="257"/>
      <c r="G74" s="799" t="s">
        <v>903</v>
      </c>
      <c r="H74" s="799"/>
      <c r="I74" s="799"/>
      <c r="J74" s="798"/>
      <c r="K74" s="799"/>
    </row>
    <row r="75" spans="1:25" ht="51">
      <c r="A75" s="257"/>
      <c r="B75" s="767"/>
      <c r="C75" s="257"/>
      <c r="D75" s="257"/>
      <c r="G75" s="801" t="s">
        <v>904</v>
      </c>
      <c r="H75" s="799"/>
      <c r="I75" s="799"/>
      <c r="J75" s="798"/>
      <c r="K75" s="799"/>
      <c r="M75" s="1615" t="s">
        <v>103</v>
      </c>
      <c r="N75" s="1613"/>
      <c r="O75" s="1613"/>
      <c r="P75" s="1613"/>
      <c r="Q75" s="1614"/>
      <c r="S75" s="769"/>
      <c r="T75" s="254"/>
      <c r="U75" s="254"/>
      <c r="V75" s="254"/>
      <c r="W75" s="254"/>
      <c r="X75" s="254"/>
    </row>
    <row r="76" spans="1:25" ht="14.25">
      <c r="E76" s="351" t="s">
        <v>1145</v>
      </c>
      <c r="G76" s="799" t="s">
        <v>905</v>
      </c>
      <c r="H76" s="802"/>
      <c r="I76" s="799"/>
      <c r="J76" s="798"/>
      <c r="K76" s="799"/>
      <c r="M76" s="24" t="s">
        <v>105</v>
      </c>
      <c r="N76" s="24" t="s">
        <v>106</v>
      </c>
      <c r="O76" s="24" t="s">
        <v>102</v>
      </c>
      <c r="P76" s="24" t="s">
        <v>134</v>
      </c>
      <c r="Q76" s="24" t="s">
        <v>107</v>
      </c>
      <c r="S76" s="254"/>
      <c r="T76" s="254"/>
      <c r="U76" s="254"/>
      <c r="V76" s="254"/>
      <c r="W76" s="254"/>
      <c r="X76" s="254"/>
    </row>
    <row r="77" spans="1:25" ht="14.25">
      <c r="E77" s="254">
        <v>8700</v>
      </c>
      <c r="G77" s="802" t="s">
        <v>909</v>
      </c>
      <c r="H77" s="802"/>
      <c r="I77" s="799"/>
      <c r="J77" s="799"/>
      <c r="K77" s="799"/>
      <c r="M77" s="25"/>
      <c r="N77" s="26"/>
      <c r="O77" s="26"/>
      <c r="P77" s="26"/>
      <c r="Q77" s="26">
        <f>D146</f>
        <v>3300000</v>
      </c>
      <c r="S77" s="254"/>
      <c r="T77" s="254"/>
      <c r="U77" s="254"/>
      <c r="V77" s="254"/>
      <c r="W77" s="254"/>
      <c r="X77" s="254"/>
    </row>
    <row r="78" spans="1:25" ht="14.25">
      <c r="D78" s="351" t="s">
        <v>1135</v>
      </c>
      <c r="E78" s="254">
        <f>E77*0.9</f>
        <v>7830</v>
      </c>
      <c r="G78" s="802" t="s">
        <v>910</v>
      </c>
      <c r="H78" s="802"/>
      <c r="I78" s="799"/>
      <c r="J78" s="799"/>
      <c r="K78" s="799"/>
      <c r="M78" s="25">
        <v>1</v>
      </c>
      <c r="N78" s="26">
        <f>P70*Q77/(1-(1+P70)^-5)</f>
        <v>929468.46572007868</v>
      </c>
      <c r="O78" s="26">
        <f>Q77*$P$70</f>
        <v>416335.98357120022</v>
      </c>
      <c r="P78" s="26">
        <f>N78-O78</f>
        <v>513132.48214887845</v>
      </c>
      <c r="Q78" s="26">
        <f>Q77-P78</f>
        <v>2786867.5178511217</v>
      </c>
      <c r="S78" s="254"/>
      <c r="T78" s="254"/>
      <c r="U78" s="254"/>
      <c r="V78" s="254"/>
      <c r="W78" s="254"/>
      <c r="X78" s="254"/>
    </row>
    <row r="79" spans="1:25" ht="14.25">
      <c r="D79" s="351" t="s">
        <v>1136</v>
      </c>
      <c r="E79" s="254">
        <f>E77*0.95</f>
        <v>8265</v>
      </c>
      <c r="G79" s="802" t="s">
        <v>911</v>
      </c>
      <c r="H79" s="799"/>
      <c r="I79" s="799"/>
      <c r="J79" s="799"/>
      <c r="K79" s="799"/>
      <c r="M79" s="25">
        <v>2</v>
      </c>
      <c r="N79" s="26">
        <f>P70*Q77/(1-(1+P70)^-5)</f>
        <v>929468.46572007868</v>
      </c>
      <c r="O79" s="26">
        <f>Q78*$P$70</f>
        <v>351597.94822035643</v>
      </c>
      <c r="P79" s="26">
        <f>N79-O79</f>
        <v>577870.51749972231</v>
      </c>
      <c r="Q79" s="26">
        <f>Q78-P79</f>
        <v>2208997.0003513992</v>
      </c>
      <c r="S79" s="254"/>
      <c r="T79" s="254"/>
      <c r="U79" s="254"/>
      <c r="V79" s="254"/>
      <c r="W79" s="254"/>
      <c r="X79" s="254"/>
    </row>
    <row r="80" spans="1:25">
      <c r="G80" s="803">
        <v>5</v>
      </c>
      <c r="H80" s="799"/>
      <c r="I80" s="799"/>
      <c r="J80" s="799"/>
      <c r="K80" s="799"/>
      <c r="M80" s="25">
        <v>3</v>
      </c>
      <c r="N80" s="26">
        <f>P70*Q77/(1-(1+P70)^-5)</f>
        <v>929468.46572007868</v>
      </c>
      <c r="O80" s="26">
        <f>Q79*$P$70</f>
        <v>278692.40571125172</v>
      </c>
      <c r="P80" s="26">
        <f>N80-O80</f>
        <v>650776.0600088269</v>
      </c>
      <c r="Q80" s="26">
        <f>Q79-P80</f>
        <v>1558220.9403425723</v>
      </c>
    </row>
    <row r="81" spans="2:17">
      <c r="G81" s="804">
        <f>G136+G108</f>
        <v>0</v>
      </c>
      <c r="H81" s="799"/>
      <c r="I81" s="799"/>
      <c r="J81" s="799"/>
      <c r="K81" s="799"/>
      <c r="M81" s="25">
        <v>4</v>
      </c>
      <c r="N81" s="26">
        <f>P70*Q77/(1-(1+P70)^-5)</f>
        <v>929468.46572007868</v>
      </c>
      <c r="O81" s="26">
        <f>Q80*$P$70</f>
        <v>196588.92358144405</v>
      </c>
      <c r="P81" s="26">
        <f>N81-O81</f>
        <v>732879.5421386346</v>
      </c>
      <c r="Q81" s="26">
        <f>Q80-P81</f>
        <v>825341.39820393769</v>
      </c>
    </row>
    <row r="82" spans="2:17">
      <c r="M82" s="766">
        <v>5</v>
      </c>
      <c r="N82" s="26">
        <f>P70*Q77/(1-(1+P70)^-5)</f>
        <v>929468.46572007868</v>
      </c>
      <c r="O82" s="26">
        <f>Q81*$P$70</f>
        <v>104127.06751614122</v>
      </c>
      <c r="P82" s="26">
        <f>N82-O82</f>
        <v>825341.39820393745</v>
      </c>
      <c r="Q82" s="26">
        <f>Q81-P82</f>
        <v>0</v>
      </c>
    </row>
    <row r="83" spans="2:17" ht="13.5" thickBot="1">
      <c r="M83" s="1785"/>
      <c r="N83" s="1714"/>
      <c r="O83" s="1714"/>
      <c r="P83" s="1714"/>
      <c r="Q83" s="1714"/>
    </row>
    <row r="84" spans="2:17" ht="15" thickBot="1">
      <c r="B84" s="1756" t="s">
        <v>1131</v>
      </c>
      <c r="C84" s="1757"/>
      <c r="D84" s="1757"/>
      <c r="E84" s="1757"/>
      <c r="F84" s="1757"/>
      <c r="G84" s="1757"/>
      <c r="H84" s="1757"/>
      <c r="I84" s="1757"/>
      <c r="J84" s="1757"/>
      <c r="K84" s="1758"/>
      <c r="L84" s="1056"/>
      <c r="M84" s="1056"/>
      <c r="N84" s="2"/>
      <c r="O84" s="2"/>
      <c r="P84" s="2"/>
      <c r="Q84" s="2"/>
    </row>
    <row r="85" spans="2:17" ht="30.75" thickBot="1">
      <c r="B85" s="1116" t="s">
        <v>577</v>
      </c>
      <c r="C85" s="402" t="s">
        <v>578</v>
      </c>
      <c r="D85" s="403" t="s">
        <v>579</v>
      </c>
      <c r="E85" s="403" t="s">
        <v>102</v>
      </c>
      <c r="F85" s="403" t="s">
        <v>580</v>
      </c>
      <c r="G85" s="403" t="s">
        <v>1128</v>
      </c>
      <c r="H85" s="403" t="s">
        <v>582</v>
      </c>
      <c r="I85" s="404" t="s">
        <v>583</v>
      </c>
      <c r="J85" s="405" t="s">
        <v>584</v>
      </c>
      <c r="K85" s="401" t="s">
        <v>585</v>
      </c>
      <c r="L85" s="1056"/>
      <c r="M85" s="401" t="s">
        <v>586</v>
      </c>
      <c r="N85" s="1759" t="s">
        <v>881</v>
      </c>
      <c r="O85" s="1759"/>
      <c r="P85" s="2"/>
      <c r="Q85" s="2"/>
    </row>
    <row r="86" spans="2:17" ht="14.25">
      <c r="B86" s="1115" t="s">
        <v>589</v>
      </c>
      <c r="C86" s="1105">
        <f>400/5</f>
        <v>80</v>
      </c>
      <c r="D86" s="1106" t="s">
        <v>1124</v>
      </c>
      <c r="E86" s="1107"/>
      <c r="F86" s="1107">
        <v>0</v>
      </c>
      <c r="G86" s="1108">
        <f>1+F86</f>
        <v>1</v>
      </c>
      <c r="H86" s="1109">
        <f>C86/G86</f>
        <v>80</v>
      </c>
      <c r="I86" s="1106">
        <v>1.35</v>
      </c>
      <c r="J86" s="1110">
        <f>I86*H86*(1+E86)</f>
        <v>108</v>
      </c>
      <c r="K86" s="1836">
        <f>SUM(J86:J90)</f>
        <v>5891.5</v>
      </c>
      <c r="L86" s="1717" t="s">
        <v>588</v>
      </c>
      <c r="M86" s="1718">
        <f>SUM(K86,L90)</f>
        <v>6006.5</v>
      </c>
      <c r="N86" s="1759"/>
      <c r="O86" s="1759"/>
      <c r="P86" s="2"/>
      <c r="Q86" s="2"/>
    </row>
    <row r="87" spans="2:17" ht="14.25">
      <c r="B87" s="1104" t="s">
        <v>1125</v>
      </c>
      <c r="C87" s="1105">
        <v>150</v>
      </c>
      <c r="D87" s="1106" t="s">
        <v>1126</v>
      </c>
      <c r="E87" s="1107">
        <v>0</v>
      </c>
      <c r="F87" s="1107"/>
      <c r="G87" s="1108">
        <f>1+F87</f>
        <v>1</v>
      </c>
      <c r="H87" s="1109">
        <f>C87/G87</f>
        <v>150</v>
      </c>
      <c r="I87" s="1108">
        <v>0.35</v>
      </c>
      <c r="J87" s="1110">
        <f>I87*H87*(1+E87)</f>
        <v>52.5</v>
      </c>
      <c r="K87" s="1837"/>
      <c r="L87" s="1717"/>
      <c r="M87" s="1718"/>
      <c r="N87" s="1759"/>
      <c r="O87" s="1759"/>
      <c r="P87" s="2"/>
      <c r="Q87" s="2"/>
    </row>
    <row r="88" spans="2:17" ht="14.25">
      <c r="B88" s="1104" t="s">
        <v>587</v>
      </c>
      <c r="C88" s="1105">
        <v>580</v>
      </c>
      <c r="D88" s="1106" t="s">
        <v>1127</v>
      </c>
      <c r="E88" s="1107"/>
      <c r="F88" s="1107">
        <v>0.2</v>
      </c>
      <c r="G88" s="1108">
        <f>1+F88</f>
        <v>1.2</v>
      </c>
      <c r="H88" s="1109">
        <f>C88*G88</f>
        <v>696</v>
      </c>
      <c r="I88" s="1106">
        <v>5</v>
      </c>
      <c r="J88" s="1110">
        <f>I88*H88*(1+E88)</f>
        <v>3480</v>
      </c>
      <c r="K88" s="1837"/>
      <c r="L88" s="1717"/>
      <c r="M88" s="1718"/>
      <c r="N88" s="1759"/>
      <c r="O88" s="1759"/>
      <c r="P88" s="2"/>
      <c r="Q88" s="2"/>
    </row>
    <row r="89" spans="2:17" ht="14.25">
      <c r="B89" s="1104" t="s">
        <v>1129</v>
      </c>
      <c r="C89" s="1105">
        <v>268</v>
      </c>
      <c r="D89" s="1106" t="s">
        <v>591</v>
      </c>
      <c r="E89" s="1107"/>
      <c r="F89" s="1107"/>
      <c r="G89" s="1108">
        <f>1+F89</f>
        <v>1</v>
      </c>
      <c r="H89" s="1109">
        <f>C89/G89</f>
        <v>268</v>
      </c>
      <c r="I89" s="1106">
        <v>8</v>
      </c>
      <c r="J89" s="1110">
        <f>I89*H89*(1+E89)</f>
        <v>2144</v>
      </c>
      <c r="K89" s="1837"/>
      <c r="L89" s="1717"/>
      <c r="M89" s="1718"/>
      <c r="N89" s="1759"/>
      <c r="O89" s="1759"/>
      <c r="P89" s="2"/>
      <c r="Q89" s="2"/>
    </row>
    <row r="90" spans="2:17" ht="15.75" thickBot="1">
      <c r="B90" s="1111" t="s">
        <v>1130</v>
      </c>
      <c r="C90" s="1112">
        <f>63+44</f>
        <v>107</v>
      </c>
      <c r="D90" s="1113" t="s">
        <v>594</v>
      </c>
      <c r="E90" s="1114"/>
      <c r="F90" s="1114"/>
      <c r="G90" s="1108">
        <f>1+F90</f>
        <v>1</v>
      </c>
      <c r="H90" s="1109">
        <f>C90/G90</f>
        <v>107</v>
      </c>
      <c r="I90" s="1113">
        <v>1</v>
      </c>
      <c r="J90" s="1110">
        <f>I90*H90*(1+E90)</f>
        <v>107</v>
      </c>
      <c r="K90" s="1838"/>
      <c r="L90" s="418">
        <v>115</v>
      </c>
      <c r="M90" s="1718"/>
      <c r="N90" s="1759"/>
      <c r="O90" s="1759"/>
      <c r="P90" s="2"/>
      <c r="Q90" s="2"/>
    </row>
    <row r="91" spans="2:17" ht="14.25">
      <c r="B91" s="1056"/>
      <c r="C91" s="419" t="s">
        <v>595</v>
      </c>
      <c r="D91" s="1056"/>
      <c r="E91" s="1719" t="s">
        <v>596</v>
      </c>
      <c r="F91" s="1720"/>
      <c r="I91" s="419" t="s">
        <v>595</v>
      </c>
      <c r="J91" s="1056"/>
      <c r="K91" s="1056"/>
      <c r="L91" s="419" t="s">
        <v>597</v>
      </c>
      <c r="M91" s="1056"/>
      <c r="N91" s="1759"/>
      <c r="O91" s="1759"/>
      <c r="P91" s="2"/>
      <c r="Q91" s="2"/>
    </row>
    <row r="92" spans="2:17" ht="14.25">
      <c r="G92" s="1117"/>
      <c r="H92" s="1118"/>
      <c r="M92" s="2"/>
      <c r="N92" s="2"/>
      <c r="O92" s="2"/>
      <c r="P92" s="2"/>
      <c r="Q92" s="2"/>
    </row>
    <row r="93" spans="2:17">
      <c r="H93" s="255"/>
      <c r="M93" s="2"/>
      <c r="N93" s="2"/>
      <c r="O93" s="2"/>
      <c r="P93" s="2"/>
      <c r="Q93" s="2"/>
    </row>
    <row r="94" spans="2:17" ht="13.5" thickBot="1">
      <c r="M94" s="2"/>
      <c r="N94" s="2"/>
      <c r="O94" s="2"/>
      <c r="P94" s="2"/>
      <c r="Q94" s="2"/>
    </row>
    <row r="95" spans="2:17" ht="34.5" customHeight="1">
      <c r="D95" s="1205" t="s">
        <v>1157</v>
      </c>
      <c r="E95" s="1206"/>
      <c r="F95" s="1207" t="s">
        <v>1154</v>
      </c>
      <c r="G95" s="1208">
        <f>(0.3*(100000))/((1+0.1144)^2)</f>
        <v>24156.780209116547</v>
      </c>
      <c r="I95" s="1842" t="s">
        <v>1160</v>
      </c>
      <c r="J95" s="1842"/>
      <c r="K95" s="1842"/>
      <c r="L95" s="1842"/>
      <c r="M95" s="2"/>
      <c r="N95" s="2"/>
      <c r="O95" s="2"/>
      <c r="P95" s="2"/>
      <c r="Q95" s="2"/>
    </row>
    <row r="96" spans="2:17" ht="13.5" customHeight="1">
      <c r="D96" s="1209"/>
      <c r="E96" s="257"/>
      <c r="F96" s="257"/>
      <c r="G96" s="1210" t="s">
        <v>1155</v>
      </c>
      <c r="M96" s="4"/>
      <c r="N96" s="5"/>
      <c r="O96" s="5"/>
      <c r="P96" s="5"/>
      <c r="Q96" s="5"/>
    </row>
    <row r="97" spans="3:22" ht="13.5" thickBot="1">
      <c r="D97" s="1211"/>
      <c r="E97" s="1212"/>
      <c r="F97" s="1212"/>
      <c r="G97" s="1213" t="s">
        <v>1156</v>
      </c>
      <c r="M97" s="4"/>
      <c r="N97" s="5"/>
      <c r="O97" s="5"/>
      <c r="P97" s="5"/>
      <c r="Q97" s="5"/>
    </row>
    <row r="98" spans="3:22" ht="13.5" thickBot="1">
      <c r="D98" s="1839" t="s">
        <v>1159</v>
      </c>
      <c r="E98" s="1840"/>
      <c r="F98" s="1840"/>
      <c r="G98" s="1841"/>
      <c r="M98" s="4"/>
      <c r="N98" s="5"/>
      <c r="O98" s="5"/>
      <c r="P98" s="5"/>
      <c r="Q98" s="5"/>
    </row>
    <row r="99" spans="3:22">
      <c r="H99" s="254"/>
      <c r="M99" s="4"/>
      <c r="N99" s="5"/>
      <c r="O99" s="5"/>
      <c r="P99" s="5"/>
      <c r="Q99" s="5"/>
    </row>
    <row r="101" spans="3:22">
      <c r="C101" s="272" t="s">
        <v>365</v>
      </c>
      <c r="D101" s="25"/>
      <c r="E101" s="595">
        <v>199000</v>
      </c>
      <c r="F101" s="595">
        <v>192000</v>
      </c>
      <c r="G101" s="595">
        <v>214500</v>
      </c>
      <c r="H101" s="595">
        <v>207500</v>
      </c>
      <c r="I101" s="595">
        <v>209000</v>
      </c>
      <c r="P101" s="272"/>
      <c r="Q101" s="25"/>
      <c r="R101" s="25"/>
      <c r="S101" s="25"/>
      <c r="T101" s="25"/>
      <c r="U101" s="25"/>
      <c r="V101" s="25"/>
    </row>
    <row r="102" spans="3:22">
      <c r="C102" s="27" t="s">
        <v>361</v>
      </c>
      <c r="D102" s="27" t="s">
        <v>112</v>
      </c>
      <c r="E102" s="27" t="s">
        <v>113</v>
      </c>
      <c r="F102" s="27" t="s">
        <v>114</v>
      </c>
      <c r="G102" s="27" t="s">
        <v>115</v>
      </c>
      <c r="H102" s="27" t="s">
        <v>116</v>
      </c>
      <c r="I102" s="27" t="s">
        <v>117</v>
      </c>
      <c r="P102" s="27"/>
      <c r="Q102" s="27"/>
      <c r="R102" s="27"/>
      <c r="S102" s="27"/>
      <c r="T102" s="27"/>
      <c r="U102" s="27"/>
      <c r="V102" s="27"/>
    </row>
    <row r="103" spans="3:22">
      <c r="C103" s="269" t="s">
        <v>118</v>
      </c>
      <c r="D103" s="270"/>
      <c r="E103" s="270"/>
      <c r="F103" s="270"/>
      <c r="G103" s="270"/>
      <c r="H103" s="270"/>
      <c r="I103" s="270"/>
      <c r="P103" s="269"/>
      <c r="Q103" s="270"/>
      <c r="R103" s="270"/>
      <c r="S103" s="270"/>
      <c r="T103" s="270"/>
      <c r="U103" s="270"/>
      <c r="V103" s="270"/>
    </row>
    <row r="104" spans="3:22">
      <c r="C104" s="25" t="s">
        <v>1143</v>
      </c>
      <c r="D104" s="752"/>
      <c r="E104" s="752">
        <f>8700*0.9*E101*0.65</f>
        <v>1012810500</v>
      </c>
      <c r="F104" s="752">
        <f>8800*0.9*F101</f>
        <v>1520640000</v>
      </c>
      <c r="G104" s="752">
        <f>8700*0.9*G101</f>
        <v>1679535000</v>
      </c>
      <c r="H104" s="752">
        <f>8900*0.9*H101</f>
        <v>1662075000</v>
      </c>
      <c r="I104" s="752">
        <f>9000*0.9*I101</f>
        <v>1692900000</v>
      </c>
      <c r="P104" s="25"/>
      <c r="Q104" s="26"/>
      <c r="R104" s="26"/>
      <c r="S104" s="26"/>
      <c r="T104" s="26"/>
      <c r="U104" s="26"/>
      <c r="V104" s="26"/>
    </row>
    <row r="105" spans="3:22">
      <c r="C105" s="25" t="s">
        <v>1144</v>
      </c>
      <c r="D105" s="752"/>
      <c r="E105" s="752">
        <f>8700*0.95*E101*0.35</f>
        <v>575657250</v>
      </c>
      <c r="F105" s="752">
        <f>8800*0.95*F101*0.35</f>
        <v>561792000</v>
      </c>
      <c r="G105" s="752">
        <f>8700*0.95*G101*0.35</f>
        <v>620494875</v>
      </c>
      <c r="H105" s="752">
        <f>8900*0.95*H101*0.35</f>
        <v>614044375</v>
      </c>
      <c r="I105" s="752">
        <f>9000*0.95*I101*0.35</f>
        <v>625432500</v>
      </c>
      <c r="P105" s="25"/>
      <c r="Q105" s="26"/>
      <c r="R105" s="26"/>
      <c r="S105" s="26"/>
      <c r="T105" s="26"/>
      <c r="U105" s="26"/>
      <c r="V105" s="26"/>
    </row>
    <row r="106" spans="3:22">
      <c r="C106" s="25" t="s">
        <v>867</v>
      </c>
      <c r="D106" s="752"/>
      <c r="E106" s="752"/>
      <c r="F106" s="752"/>
      <c r="G106" s="752"/>
      <c r="H106" s="752"/>
      <c r="I106" s="752"/>
      <c r="P106" s="25"/>
      <c r="Q106" s="26"/>
      <c r="R106" s="26"/>
      <c r="S106" s="26"/>
      <c r="T106" s="26"/>
      <c r="U106" s="26"/>
      <c r="V106" s="26"/>
    </row>
    <row r="107" spans="3:22">
      <c r="C107" s="25"/>
      <c r="D107" s="752"/>
      <c r="E107" s="752"/>
      <c r="F107" s="752"/>
      <c r="G107" s="752"/>
      <c r="H107" s="752"/>
      <c r="I107" s="752"/>
      <c r="P107" s="25"/>
      <c r="Q107" s="26"/>
      <c r="R107" s="26"/>
      <c r="S107" s="26"/>
      <c r="T107" s="26"/>
      <c r="U107" s="26"/>
      <c r="V107" s="26"/>
    </row>
    <row r="108" spans="3:22">
      <c r="C108" s="25" t="s">
        <v>874</v>
      </c>
      <c r="D108" s="752"/>
      <c r="E108" s="752"/>
      <c r="F108" s="752"/>
      <c r="G108" s="752"/>
      <c r="H108" s="752"/>
      <c r="I108" s="753"/>
      <c r="P108" s="25"/>
      <c r="Q108" s="26"/>
      <c r="R108" s="26"/>
      <c r="S108" s="26"/>
      <c r="T108" s="26"/>
      <c r="U108" s="26"/>
      <c r="V108" s="280"/>
    </row>
    <row r="109" spans="3:22">
      <c r="C109" s="25"/>
      <c r="D109" s="752"/>
      <c r="E109" s="752"/>
      <c r="F109" s="752"/>
      <c r="G109" s="752"/>
      <c r="H109" s="752"/>
      <c r="I109" s="753"/>
      <c r="P109" s="25"/>
      <c r="Q109" s="26"/>
      <c r="R109" s="26"/>
      <c r="S109" s="26"/>
      <c r="T109" s="26"/>
      <c r="U109" s="26"/>
      <c r="V109" s="280"/>
    </row>
    <row r="110" spans="3:22">
      <c r="C110" s="25" t="s">
        <v>1123</v>
      </c>
      <c r="D110" s="752"/>
      <c r="E110" s="752"/>
      <c r="F110" s="752"/>
      <c r="G110" s="752"/>
      <c r="H110" s="752"/>
      <c r="I110" s="753">
        <f>D148*0.3*-1*0.9</f>
        <v>1485000</v>
      </c>
      <c r="J110" s="351" t="s">
        <v>1148</v>
      </c>
      <c r="P110" s="25"/>
      <c r="Q110" s="26"/>
      <c r="R110" s="26"/>
      <c r="S110" s="26"/>
      <c r="T110" s="26"/>
      <c r="U110" s="26"/>
      <c r="V110" s="280"/>
    </row>
    <row r="111" spans="3:22">
      <c r="C111" s="1214" t="s">
        <v>1158</v>
      </c>
      <c r="D111" s="752"/>
      <c r="E111" s="752"/>
      <c r="F111" s="752"/>
      <c r="G111" s="752"/>
      <c r="H111" s="752"/>
      <c r="I111" s="753"/>
      <c r="J111" s="351"/>
      <c r="P111" s="25"/>
      <c r="Q111" s="26"/>
      <c r="R111" s="26"/>
      <c r="S111" s="26"/>
      <c r="T111" s="26"/>
      <c r="U111" s="26"/>
      <c r="V111" s="280"/>
    </row>
    <row r="112" spans="3:22">
      <c r="C112" s="269" t="s">
        <v>121</v>
      </c>
      <c r="D112" s="754"/>
      <c r="E112" s="754"/>
      <c r="F112" s="754"/>
      <c r="G112" s="754"/>
      <c r="H112" s="754"/>
      <c r="I112" s="754"/>
      <c r="P112" s="269"/>
      <c r="Q112" s="270"/>
      <c r="R112" s="270"/>
      <c r="S112" s="270"/>
      <c r="T112" s="270"/>
      <c r="U112" s="270"/>
      <c r="V112" s="270"/>
    </row>
    <row r="113" spans="2:22">
      <c r="C113" s="25" t="s">
        <v>122</v>
      </c>
      <c r="D113" s="752"/>
      <c r="E113" s="254">
        <v>-416335.98357119999</v>
      </c>
      <c r="F113" s="254">
        <v>-293682.35797312798</v>
      </c>
      <c r="G113" s="254">
        <v>-155554.45423810199</v>
      </c>
      <c r="H113" s="752"/>
      <c r="I113" s="752"/>
      <c r="P113" s="25"/>
      <c r="Q113" s="26"/>
      <c r="R113" s="26"/>
      <c r="S113" s="26"/>
      <c r="T113" s="26"/>
      <c r="U113" s="26"/>
      <c r="V113" s="26"/>
    </row>
    <row r="114" spans="2:22">
      <c r="C114" s="47" t="s">
        <v>1132</v>
      </c>
      <c r="D114" s="752"/>
      <c r="E114" s="752"/>
      <c r="F114" s="752"/>
      <c r="G114" s="752"/>
      <c r="H114" s="752"/>
      <c r="I114" s="752"/>
      <c r="J114" s="351"/>
      <c r="P114" s="47"/>
      <c r="Q114" s="26"/>
      <c r="R114" s="26"/>
      <c r="S114" s="26"/>
      <c r="T114" s="26"/>
      <c r="U114" s="26"/>
      <c r="V114" s="26"/>
    </row>
    <row r="115" spans="2:22">
      <c r="C115" s="631" t="s">
        <v>809</v>
      </c>
      <c r="D115" s="752"/>
      <c r="E115" s="752">
        <f>-550000*12</f>
        <v>-6600000</v>
      </c>
      <c r="F115" s="752">
        <f>-550000*12</f>
        <v>-6600000</v>
      </c>
      <c r="G115" s="752">
        <f>-550000*12</f>
        <v>-6600000</v>
      </c>
      <c r="H115" s="752">
        <f>-550000*12</f>
        <v>-6600000</v>
      </c>
      <c r="I115" s="752">
        <f>-550000*12</f>
        <v>-6600000</v>
      </c>
      <c r="P115" s="47"/>
      <c r="Q115" s="26"/>
      <c r="R115" s="26"/>
      <c r="S115" s="26"/>
      <c r="T115" s="26"/>
      <c r="U115" s="26"/>
      <c r="V115" s="26"/>
    </row>
    <row r="116" spans="2:22">
      <c r="C116" s="1119" t="s">
        <v>1133</v>
      </c>
      <c r="D116" s="752"/>
      <c r="E116" s="752">
        <f>-(120000+150000+90000)*12</f>
        <v>-4320000</v>
      </c>
      <c r="F116" s="752">
        <f>-(120000+150000+90000)*12</f>
        <v>-4320000</v>
      </c>
      <c r="G116" s="752">
        <f>-(120000+150000+90000)*12</f>
        <v>-4320000</v>
      </c>
      <c r="H116" s="752">
        <f>-(120000+150000+90000)*12</f>
        <v>-4320000</v>
      </c>
      <c r="I116" s="752">
        <f>-(120000+150000+90000)*12</f>
        <v>-4320000</v>
      </c>
      <c r="P116" s="47"/>
      <c r="Q116" s="26"/>
      <c r="R116" s="26"/>
      <c r="S116" s="26"/>
      <c r="T116" s="26"/>
      <c r="U116" s="26"/>
      <c r="V116" s="26"/>
    </row>
    <row r="117" spans="2:22">
      <c r="C117" s="342" t="s">
        <v>1140</v>
      </c>
      <c r="D117" s="765"/>
      <c r="E117" s="752"/>
      <c r="F117" s="752"/>
      <c r="G117" s="752"/>
      <c r="H117" s="752"/>
      <c r="I117" s="752"/>
      <c r="P117" s="47"/>
      <c r="Q117" s="26"/>
      <c r="R117" s="26"/>
      <c r="S117" s="26"/>
      <c r="T117" s="26"/>
      <c r="U117" s="26"/>
      <c r="V117" s="26"/>
    </row>
    <row r="118" spans="2:22">
      <c r="C118" s="1120" t="s">
        <v>1141</v>
      </c>
      <c r="D118" s="765"/>
      <c r="E118" s="752">
        <f>-1*E101*$M$86</f>
        <v>-1195293500</v>
      </c>
      <c r="F118" s="752">
        <f>-1*F101*$M$86</f>
        <v>-1153248000</v>
      </c>
      <c r="G118" s="752">
        <f>-1*G101*$M$86</f>
        <v>-1288394250</v>
      </c>
      <c r="H118" s="752">
        <f>-1*H101*$M$86</f>
        <v>-1246348750</v>
      </c>
      <c r="I118" s="752">
        <f>-1*I101*$M$86</f>
        <v>-1255358500</v>
      </c>
      <c r="P118" s="47"/>
      <c r="Q118" s="26"/>
      <c r="R118" s="26"/>
      <c r="S118" s="26"/>
      <c r="T118" s="26"/>
      <c r="U118" s="26"/>
      <c r="V118" s="26"/>
    </row>
    <row r="119" spans="2:22">
      <c r="C119" s="102" t="s">
        <v>802</v>
      </c>
      <c r="D119" s="752"/>
      <c r="E119" s="752"/>
      <c r="F119" s="752"/>
      <c r="G119" s="752"/>
      <c r="H119" s="752"/>
      <c r="I119" s="752"/>
      <c r="P119" s="47"/>
      <c r="Q119" s="26"/>
      <c r="R119" s="26"/>
      <c r="S119" s="26"/>
      <c r="T119" s="26"/>
      <c r="U119" s="26"/>
      <c r="V119" s="26"/>
    </row>
    <row r="120" spans="2:22" ht="15.75" customHeight="1">
      <c r="C120" s="287" t="s">
        <v>803</v>
      </c>
      <c r="D120" s="752"/>
      <c r="E120" s="752"/>
      <c r="F120" s="752"/>
      <c r="G120" s="752"/>
      <c r="H120" s="752"/>
      <c r="I120" s="752"/>
      <c r="P120" s="287"/>
      <c r="Q120" s="26"/>
      <c r="R120" s="26"/>
      <c r="S120" s="26"/>
      <c r="T120" s="26"/>
      <c r="U120" s="26"/>
      <c r="V120" s="26"/>
    </row>
    <row r="121" spans="2:22" ht="15.75" customHeight="1">
      <c r="B121" s="351"/>
      <c r="C121" s="199" t="s">
        <v>1137</v>
      </c>
      <c r="D121" s="752"/>
      <c r="E121" s="752">
        <f>E118*0.12</f>
        <v>-143435220</v>
      </c>
      <c r="F121" s="752">
        <f>F118*0.12</f>
        <v>-138389760</v>
      </c>
      <c r="G121" s="752">
        <f>G118*0.12</f>
        <v>-154607310</v>
      </c>
      <c r="H121" s="752">
        <f>H118*0.12</f>
        <v>-149561850</v>
      </c>
      <c r="I121" s="752">
        <f>I118*0.12</f>
        <v>-150643020</v>
      </c>
      <c r="J121" s="351" t="s">
        <v>1146</v>
      </c>
      <c r="P121" s="199"/>
      <c r="Q121" s="26"/>
      <c r="R121" s="26"/>
      <c r="S121" s="26"/>
      <c r="T121" s="26"/>
      <c r="U121" s="26"/>
      <c r="V121" s="26"/>
    </row>
    <row r="122" spans="2:22" ht="15.75" customHeight="1">
      <c r="B122" s="351"/>
      <c r="C122" s="199" t="s">
        <v>1139</v>
      </c>
      <c r="D122" s="752"/>
      <c r="E122" s="752">
        <f>4*170000*-1*13*1.4</f>
        <v>-12376000</v>
      </c>
      <c r="F122" s="752">
        <f>4*170000*-1*13*1.4</f>
        <v>-12376000</v>
      </c>
      <c r="G122" s="752">
        <f>4*170000*-1*13*1.4</f>
        <v>-12376000</v>
      </c>
      <c r="H122" s="752">
        <f>4*170000*-1*13*1.4</f>
        <v>-12376000</v>
      </c>
      <c r="I122" s="752">
        <f>4*170000*-1*13*1.4</f>
        <v>-12376000</v>
      </c>
      <c r="J122" s="351" t="s">
        <v>1146</v>
      </c>
      <c r="P122" s="199"/>
      <c r="Q122" s="26"/>
      <c r="R122" s="26"/>
      <c r="S122" s="26"/>
      <c r="T122" s="26"/>
      <c r="U122" s="26"/>
      <c r="V122" s="26"/>
    </row>
    <row r="123" spans="2:22" ht="15.75" customHeight="1">
      <c r="B123" s="351"/>
      <c r="C123" s="199" t="s">
        <v>1138</v>
      </c>
      <c r="D123" s="752"/>
      <c r="E123" s="752">
        <f>1*330000*-1*13*1.4</f>
        <v>-6006000</v>
      </c>
      <c r="F123" s="752">
        <f>1*330000*-1*13*1.4</f>
        <v>-6006000</v>
      </c>
      <c r="G123" s="752">
        <f>1*330000*-1*13*1.4</f>
        <v>-6006000</v>
      </c>
      <c r="H123" s="752">
        <f>1*330000*-1*13*1.4</f>
        <v>-6006000</v>
      </c>
      <c r="I123" s="752">
        <f>1*330000*-1*13*1.4</f>
        <v>-6006000</v>
      </c>
      <c r="J123" s="351" t="s">
        <v>1146</v>
      </c>
      <c r="P123" s="199"/>
      <c r="Q123" s="26"/>
      <c r="R123" s="26"/>
      <c r="S123" s="26"/>
      <c r="T123" s="26"/>
      <c r="U123" s="26"/>
      <c r="V123" s="26"/>
    </row>
    <row r="124" spans="2:22" ht="15.75" customHeight="1">
      <c r="B124" s="351"/>
      <c r="C124" s="199" t="s">
        <v>1134</v>
      </c>
      <c r="D124" s="752"/>
      <c r="E124" s="752">
        <f>(E104+E105)*0.015*-1</f>
        <v>-23827016.25</v>
      </c>
      <c r="F124" s="752">
        <f>(F104+F105)*0.015*-1</f>
        <v>-31236480</v>
      </c>
      <c r="G124" s="752">
        <f>(G104+G105)*0.015*-1</f>
        <v>-34500448.125</v>
      </c>
      <c r="H124" s="752">
        <f>(H104+H105)*0.015*-1</f>
        <v>-34141790.625</v>
      </c>
      <c r="I124" s="752">
        <f>(I104+I105)*0.015*-1</f>
        <v>-34774987.5</v>
      </c>
      <c r="J124" s="351" t="s">
        <v>1146</v>
      </c>
      <c r="P124" s="199"/>
      <c r="Q124" s="26"/>
      <c r="R124" s="26"/>
      <c r="S124" s="26"/>
      <c r="T124" s="26"/>
      <c r="U124" s="26"/>
      <c r="V124" s="26"/>
    </row>
    <row r="125" spans="2:22" ht="15.75" customHeight="1">
      <c r="B125" s="351"/>
      <c r="C125" s="199" t="s">
        <v>868</v>
      </c>
      <c r="D125" s="752"/>
      <c r="E125" s="752"/>
      <c r="F125" s="752"/>
      <c r="G125" s="752"/>
      <c r="H125" s="752"/>
      <c r="I125" s="752"/>
      <c r="P125" s="199"/>
      <c r="Q125" s="26"/>
      <c r="R125" s="26"/>
      <c r="S125" s="26"/>
      <c r="T125" s="26"/>
      <c r="U125" s="26"/>
      <c r="V125" s="26"/>
    </row>
    <row r="126" spans="2:22" ht="15.75" customHeight="1">
      <c r="B126" s="351"/>
      <c r="C126" s="199" t="s">
        <v>478</v>
      </c>
      <c r="D126" s="752"/>
      <c r="E126" s="752"/>
      <c r="F126" s="752"/>
      <c r="G126" s="752"/>
      <c r="H126" s="752"/>
      <c r="I126" s="752"/>
      <c r="P126" s="199"/>
      <c r="Q126" s="26"/>
      <c r="R126" s="26"/>
      <c r="S126" s="26"/>
      <c r="T126" s="26"/>
      <c r="U126" s="26"/>
      <c r="V126" s="26"/>
    </row>
    <row r="127" spans="2:22" ht="15.75" customHeight="1">
      <c r="C127" s="199" t="s">
        <v>543</v>
      </c>
      <c r="D127" s="752"/>
      <c r="E127" s="752"/>
      <c r="F127" s="752"/>
      <c r="G127" s="752"/>
      <c r="H127" s="752"/>
      <c r="I127" s="752"/>
      <c r="P127" s="199"/>
      <c r="Q127" s="26"/>
      <c r="R127" s="26"/>
      <c r="S127" s="26"/>
      <c r="T127" s="26"/>
      <c r="U127" s="26"/>
      <c r="V127" s="26"/>
    </row>
    <row r="128" spans="2:22" ht="15.75" customHeight="1">
      <c r="C128" s="199" t="s">
        <v>766</v>
      </c>
      <c r="D128" s="752"/>
      <c r="E128" s="752"/>
      <c r="F128" s="752"/>
      <c r="G128" s="752"/>
      <c r="H128" s="752"/>
      <c r="I128" s="752"/>
      <c r="J128" s="351" t="s">
        <v>1147</v>
      </c>
      <c r="P128" s="199"/>
      <c r="Q128" s="26"/>
      <c r="R128" s="26"/>
      <c r="S128" s="26"/>
      <c r="T128" s="26"/>
      <c r="U128" s="26"/>
      <c r="V128" s="26"/>
    </row>
    <row r="129" spans="3:22">
      <c r="C129" s="267" t="s">
        <v>125</v>
      </c>
      <c r="D129" s="755"/>
      <c r="E129" s="755"/>
      <c r="F129" s="755"/>
      <c r="G129" s="755"/>
      <c r="H129" s="755"/>
      <c r="I129" s="755"/>
      <c r="P129" s="267"/>
      <c r="Q129" s="268"/>
      <c r="R129" s="268"/>
      <c r="S129" s="268"/>
      <c r="T129" s="268"/>
      <c r="U129" s="268"/>
      <c r="V129" s="268"/>
    </row>
    <row r="130" spans="3:22">
      <c r="C130" s="25" t="s">
        <v>761</v>
      </c>
      <c r="D130" s="752"/>
      <c r="E130" s="752"/>
      <c r="F130" s="752"/>
      <c r="G130" s="752"/>
      <c r="H130" s="752"/>
      <c r="I130" s="752"/>
      <c r="J130" s="1746"/>
      <c r="K130" s="1747"/>
      <c r="L130" s="1747"/>
      <c r="M130" s="1747"/>
      <c r="P130" s="25"/>
      <c r="Q130" s="26"/>
      <c r="R130" s="26"/>
      <c r="S130" s="26"/>
      <c r="T130" s="26"/>
      <c r="U130" s="26"/>
      <c r="V130" s="26"/>
    </row>
    <row r="131" spans="3:22">
      <c r="C131" s="25" t="s">
        <v>1149</v>
      </c>
      <c r="D131" s="752"/>
      <c r="E131" s="752">
        <f>($D$148/5)*0.9</f>
        <v>-990000</v>
      </c>
      <c r="F131" s="752">
        <f>($D$148/5)*0.9</f>
        <v>-990000</v>
      </c>
      <c r="G131" s="752">
        <f>($D$148/5)*0.9</f>
        <v>-990000</v>
      </c>
      <c r="H131" s="752">
        <f>($D$148/5)*0.9</f>
        <v>-990000</v>
      </c>
      <c r="I131" s="752">
        <f>($D$148/5)*0.9</f>
        <v>-990000</v>
      </c>
      <c r="P131" s="25"/>
      <c r="Q131" s="26"/>
      <c r="R131" s="26"/>
      <c r="S131" s="26"/>
      <c r="T131" s="26"/>
      <c r="U131" s="26"/>
      <c r="V131" s="26"/>
    </row>
    <row r="132" spans="3:22">
      <c r="C132" s="25" t="s">
        <v>1150</v>
      </c>
      <c r="D132" s="752"/>
      <c r="E132" s="752">
        <f>($D$148/5)*0.1</f>
        <v>-110000</v>
      </c>
      <c r="F132" s="752">
        <f>($D$148/5)*0.1</f>
        <v>-110000</v>
      </c>
      <c r="G132" s="752"/>
      <c r="H132" s="752"/>
      <c r="I132" s="752"/>
      <c r="P132" s="25"/>
      <c r="Q132" s="26"/>
      <c r="R132" s="26"/>
      <c r="S132" s="26"/>
      <c r="T132" s="26"/>
      <c r="U132" s="26"/>
      <c r="V132" s="26"/>
    </row>
    <row r="133" spans="3:22">
      <c r="C133" s="25" t="s">
        <v>1151</v>
      </c>
      <c r="D133" s="752"/>
      <c r="E133" s="752"/>
      <c r="F133" s="752"/>
      <c r="G133" s="752">
        <f>F148/5</f>
        <v>-20000</v>
      </c>
      <c r="H133" s="752">
        <f>F148/5</f>
        <v>-20000</v>
      </c>
      <c r="I133" s="752">
        <f>F148/5</f>
        <v>-20000</v>
      </c>
      <c r="P133" s="25"/>
      <c r="Q133" s="26"/>
      <c r="R133" s="26"/>
      <c r="S133" s="26"/>
      <c r="T133" s="26"/>
      <c r="U133" s="26"/>
      <c r="V133" s="26"/>
    </row>
    <row r="134" spans="3:22">
      <c r="C134" s="25" t="s">
        <v>787</v>
      </c>
      <c r="D134" s="752"/>
      <c r="E134" s="752"/>
      <c r="F134" s="752"/>
      <c r="G134" s="752"/>
      <c r="H134" s="752"/>
      <c r="I134" s="756"/>
      <c r="P134" s="25"/>
      <c r="Q134" s="26"/>
      <c r="R134" s="26"/>
      <c r="S134" s="26"/>
      <c r="T134" s="26"/>
      <c r="U134" s="26"/>
      <c r="V134" s="26"/>
    </row>
    <row r="135" spans="3:22">
      <c r="C135" s="25" t="s">
        <v>1153</v>
      </c>
      <c r="D135" s="752"/>
      <c r="E135" s="752"/>
      <c r="F135" s="752">
        <f>F132*3</f>
        <v>-330000</v>
      </c>
      <c r="G135" s="752"/>
      <c r="H135" s="752"/>
      <c r="I135" s="756"/>
      <c r="P135" s="25"/>
      <c r="Q135" s="26"/>
      <c r="R135" s="26"/>
      <c r="S135" s="26"/>
      <c r="T135" s="26"/>
      <c r="U135" s="26"/>
      <c r="V135" s="26"/>
    </row>
    <row r="136" spans="3:22">
      <c r="C136" s="25" t="s">
        <v>872</v>
      </c>
      <c r="D136" s="752"/>
      <c r="E136" s="752"/>
      <c r="F136" s="752"/>
      <c r="G136" s="752"/>
      <c r="H136" s="757"/>
      <c r="I136" s="758"/>
      <c r="P136" s="25"/>
      <c r="Q136" s="26"/>
      <c r="R136" s="26"/>
      <c r="S136" s="26"/>
      <c r="T136" s="26"/>
      <c r="U136" s="26"/>
      <c r="V136" s="26"/>
    </row>
    <row r="137" spans="3:22">
      <c r="C137" s="25" t="s">
        <v>873</v>
      </c>
      <c r="D137" s="752"/>
      <c r="E137" s="752"/>
      <c r="F137" s="752"/>
      <c r="G137" s="752"/>
      <c r="H137" s="752"/>
      <c r="I137" s="759"/>
      <c r="P137" s="25"/>
      <c r="Q137" s="26"/>
      <c r="R137" s="26"/>
      <c r="S137" s="26"/>
      <c r="T137" s="26"/>
      <c r="U137" s="26"/>
      <c r="V137" s="26"/>
    </row>
    <row r="138" spans="3:22">
      <c r="C138" s="25" t="s">
        <v>1152</v>
      </c>
      <c r="D138" s="752"/>
      <c r="E138" s="752"/>
      <c r="F138" s="752"/>
      <c r="G138" s="752"/>
      <c r="H138" s="752"/>
      <c r="I138" s="759">
        <f>F148-G133-H133-I133</f>
        <v>-40000</v>
      </c>
      <c r="P138" s="25"/>
      <c r="Q138" s="26"/>
      <c r="R138" s="26"/>
      <c r="S138" s="26"/>
      <c r="T138" s="26"/>
      <c r="U138" s="26"/>
      <c r="V138" s="26"/>
    </row>
    <row r="139" spans="3:22">
      <c r="C139" s="25" t="s">
        <v>786</v>
      </c>
      <c r="D139" s="752"/>
      <c r="E139" s="752"/>
      <c r="F139" s="752"/>
      <c r="G139" s="752"/>
      <c r="H139" s="752"/>
      <c r="I139" s="759"/>
      <c r="P139" s="25"/>
      <c r="Q139" s="26"/>
      <c r="R139" s="26"/>
      <c r="S139" s="26"/>
      <c r="T139" s="26"/>
      <c r="U139" s="26"/>
      <c r="V139" s="26"/>
    </row>
    <row r="140" spans="3:22" ht="14.25">
      <c r="C140" s="31" t="s">
        <v>130</v>
      </c>
      <c r="D140" s="760"/>
      <c r="E140" s="760">
        <f>SUM(E104:E139)</f>
        <v>195093677.76642871</v>
      </c>
      <c r="F140" s="760">
        <f>SUM(F104:F139)</f>
        <v>728532077.6420269</v>
      </c>
      <c r="G140" s="760">
        <f>SUM(G104:G139)</f>
        <v>792060312.42076206</v>
      </c>
      <c r="H140" s="760">
        <f>SUM(H104:H139)</f>
        <v>815754984.375</v>
      </c>
      <c r="I140" s="760">
        <f>SUM(I104:I139)</f>
        <v>848688992.5</v>
      </c>
      <c r="K140" s="259"/>
      <c r="L140" s="259"/>
      <c r="M140" s="259"/>
      <c r="P140" s="31"/>
      <c r="Q140" s="32"/>
      <c r="R140" s="32"/>
      <c r="S140" s="32"/>
      <c r="T140" s="32"/>
      <c r="U140" s="32"/>
      <c r="V140" s="32"/>
    </row>
    <row r="141" spans="3:22">
      <c r="C141" s="33" t="s">
        <v>349</v>
      </c>
      <c r="D141" s="752"/>
      <c r="E141" s="752">
        <f>E140*0.35</f>
        <v>68282787.218250051</v>
      </c>
      <c r="F141" s="752">
        <f>F140*0.35</f>
        <v>254986227.17470941</v>
      </c>
      <c r="G141" s="752">
        <f>G140*0.35</f>
        <v>277221109.34726673</v>
      </c>
      <c r="H141" s="752">
        <f>H140*0.35</f>
        <v>285514244.53125</v>
      </c>
      <c r="I141" s="752">
        <f>I140*0.35</f>
        <v>297041147.375</v>
      </c>
      <c r="K141" s="276"/>
      <c r="L141" s="259"/>
      <c r="M141" s="259"/>
      <c r="P141" s="33"/>
      <c r="Q141" s="26"/>
      <c r="R141" s="26"/>
      <c r="S141" s="26"/>
      <c r="T141" s="26"/>
      <c r="U141" s="26"/>
      <c r="V141" s="26"/>
    </row>
    <row r="142" spans="3:22" ht="28.5">
      <c r="C142" s="34" t="s">
        <v>132</v>
      </c>
      <c r="D142" s="761"/>
      <c r="E142" s="761">
        <f>E140-E141</f>
        <v>126810890.54817866</v>
      </c>
      <c r="F142" s="761">
        <f>F140-F141</f>
        <v>473545850.46731746</v>
      </c>
      <c r="G142" s="761">
        <f>G140-G141</f>
        <v>514839203.07349533</v>
      </c>
      <c r="H142" s="761">
        <f>H140-H141</f>
        <v>530240739.84375</v>
      </c>
      <c r="I142" s="761">
        <f>I140-I141</f>
        <v>551647845.125</v>
      </c>
      <c r="P142" s="34"/>
      <c r="Q142" s="35"/>
      <c r="R142" s="35"/>
      <c r="S142" s="35"/>
      <c r="T142" s="35"/>
      <c r="U142" s="35"/>
      <c r="V142" s="35"/>
    </row>
    <row r="143" spans="3:22">
      <c r="C143" s="33" t="s">
        <v>133</v>
      </c>
      <c r="D143" s="756"/>
      <c r="E143" s="756">
        <f>SUM(E130:E139)*-1</f>
        <v>1100000</v>
      </c>
      <c r="F143" s="756">
        <f>SUM(F130:F139)*-1</f>
        <v>1430000</v>
      </c>
      <c r="G143" s="756">
        <f>SUM(G130:G139)*-1</f>
        <v>1010000</v>
      </c>
      <c r="H143" s="756">
        <f>SUM(H130:H139)*-1</f>
        <v>1010000</v>
      </c>
      <c r="I143" s="756">
        <f>SUM(I130:I139)*-1</f>
        <v>1050000</v>
      </c>
      <c r="P143" s="33"/>
      <c r="Q143" s="26"/>
      <c r="R143" s="26"/>
      <c r="S143" s="26"/>
      <c r="T143" s="26"/>
      <c r="U143" s="26"/>
      <c r="V143" s="26"/>
    </row>
    <row r="144" spans="3:22" ht="25.5">
      <c r="C144" s="751" t="s">
        <v>712</v>
      </c>
      <c r="D144" s="254">
        <v>-61566810.406249985</v>
      </c>
      <c r="E144" s="816"/>
      <c r="F144" s="816">
        <v>-6961071.5283448473</v>
      </c>
      <c r="G144" s="816"/>
      <c r="H144" s="816">
        <v>-464071.43522298988</v>
      </c>
      <c r="I144" s="764"/>
      <c r="P144" s="284"/>
      <c r="Q144" s="26"/>
      <c r="R144" s="26"/>
      <c r="S144" s="26"/>
      <c r="T144" s="26"/>
      <c r="U144" s="26"/>
    </row>
    <row r="145" spans="3:23">
      <c r="C145" s="25" t="s">
        <v>134</v>
      </c>
      <c r="D145" s="759"/>
      <c r="E145" s="254">
        <v>-972188.28168960998</v>
      </c>
      <c r="F145" s="254">
        <v>-1094841.9072876801</v>
      </c>
      <c r="G145" s="254">
        <v>-1232969.8110227101</v>
      </c>
      <c r="H145" s="759"/>
      <c r="I145" s="759"/>
      <c r="P145" s="25"/>
      <c r="R145" s="26"/>
      <c r="S145" s="26"/>
      <c r="T145" s="26"/>
      <c r="U145" s="26"/>
      <c r="V145" s="26"/>
    </row>
    <row r="146" spans="3:23">
      <c r="C146" s="25" t="s">
        <v>135</v>
      </c>
      <c r="D146" s="752">
        <f>D148*0.6*-1</f>
        <v>3300000</v>
      </c>
      <c r="F146" s="752"/>
      <c r="G146" s="752"/>
      <c r="H146" s="752"/>
      <c r="I146" s="752"/>
      <c r="P146" s="286"/>
      <c r="R146" s="26"/>
      <c r="S146" s="26"/>
      <c r="T146" s="26"/>
      <c r="U146" s="26"/>
      <c r="V146" s="26"/>
    </row>
    <row r="147" spans="3:23">
      <c r="C147" s="25"/>
      <c r="D147" s="752"/>
      <c r="F147" s="752"/>
      <c r="G147" s="752"/>
      <c r="H147" s="756"/>
      <c r="I147" s="752"/>
      <c r="P147" s="286"/>
      <c r="Q147" s="26"/>
      <c r="V147" s="26"/>
    </row>
    <row r="148" spans="3:23">
      <c r="C148" s="25" t="s">
        <v>1122</v>
      </c>
      <c r="D148" s="752">
        <f>5000000*1.1*-1</f>
        <v>-5500000</v>
      </c>
      <c r="E148" s="752"/>
      <c r="F148" s="752">
        <v>-100000</v>
      </c>
      <c r="G148" s="757"/>
      <c r="H148" s="758"/>
      <c r="I148" s="765"/>
      <c r="P148" s="286"/>
      <c r="Q148" s="26"/>
      <c r="R148" s="26"/>
      <c r="S148" s="26"/>
      <c r="T148" s="26"/>
      <c r="U148" s="26"/>
      <c r="V148" s="26"/>
    </row>
    <row r="149" spans="3:23">
      <c r="C149" s="25" t="s">
        <v>863</v>
      </c>
      <c r="D149" s="752"/>
      <c r="E149" s="752"/>
      <c r="F149" s="752"/>
      <c r="G149" s="757"/>
      <c r="H149" s="758"/>
      <c r="I149" s="765"/>
      <c r="P149" s="286"/>
      <c r="Q149" s="26"/>
      <c r="R149" s="26"/>
      <c r="S149" s="26"/>
      <c r="T149" s="26"/>
      <c r="U149" s="26"/>
      <c r="V149" s="26"/>
    </row>
    <row r="150" spans="3:23">
      <c r="C150" s="25" t="s">
        <v>785</v>
      </c>
      <c r="D150" s="752"/>
      <c r="E150" s="752"/>
      <c r="F150" s="752"/>
      <c r="G150" s="757"/>
      <c r="H150" s="758"/>
      <c r="I150" s="765"/>
      <c r="J150" s="663" t="s">
        <v>1186</v>
      </c>
      <c r="P150" s="286"/>
      <c r="Q150" s="26"/>
      <c r="R150" s="26"/>
      <c r="S150" s="26"/>
      <c r="T150" s="26"/>
      <c r="U150" s="26"/>
      <c r="V150" s="26"/>
    </row>
    <row r="151" spans="3:23">
      <c r="C151" s="286" t="s">
        <v>412</v>
      </c>
      <c r="D151" s="752"/>
      <c r="E151" s="752"/>
      <c r="F151" s="752"/>
      <c r="G151" s="752"/>
      <c r="H151" s="759"/>
      <c r="I151" s="752">
        <f>(D144+F144+H144)*-1</f>
        <v>68991953.369817823</v>
      </c>
      <c r="J151" s="663" t="s">
        <v>29</v>
      </c>
      <c r="P151" s="286"/>
      <c r="Q151" s="26"/>
      <c r="R151" s="26"/>
      <c r="S151" s="26"/>
      <c r="T151" s="26"/>
      <c r="U151" s="26"/>
      <c r="V151" s="26"/>
    </row>
    <row r="152" spans="3:23" ht="14.25">
      <c r="C152" s="37" t="s">
        <v>139</v>
      </c>
      <c r="D152" s="761">
        <f>SUM(D141:D151)</f>
        <v>-63766810.406249985</v>
      </c>
      <c r="E152" s="761">
        <f>SUM(E142:E151)</f>
        <v>126938702.26648904</v>
      </c>
      <c r="F152" s="761">
        <f>SUM(F142:F151)</f>
        <v>466819937.03168494</v>
      </c>
      <c r="G152" s="761">
        <f>SUM(G142:G151)</f>
        <v>514616233.26247263</v>
      </c>
      <c r="H152" s="761">
        <f>SUM(H142:H151)</f>
        <v>530786668.40852702</v>
      </c>
      <c r="I152" s="761">
        <f>SUM(I142:I151)</f>
        <v>621689798.49481785</v>
      </c>
      <c r="J152" s="1055">
        <f>NPV(C174,E152:I152)+D152</f>
        <v>1412900520.0321231</v>
      </c>
      <c r="P152" s="37"/>
      <c r="Q152" s="35"/>
      <c r="R152" s="35"/>
      <c r="S152" s="35"/>
      <c r="T152" s="35"/>
      <c r="U152" s="35"/>
      <c r="V152" s="35"/>
      <c r="W152" s="297"/>
    </row>
    <row r="153" spans="3:23">
      <c r="C153" s="3"/>
      <c r="E153" s="5"/>
      <c r="F153" s="5"/>
      <c r="G153" s="5"/>
      <c r="H153" s="5"/>
      <c r="I153" s="5"/>
    </row>
    <row r="154" spans="3:23">
      <c r="D154" s="1051"/>
    </row>
    <row r="155" spans="3:23">
      <c r="E155" s="297"/>
      <c r="K155" s="274"/>
    </row>
    <row r="156" spans="3:23" ht="127.5">
      <c r="C156" s="593"/>
      <c r="D156" s="380"/>
      <c r="E156" s="380"/>
      <c r="F156" s="380"/>
      <c r="G156" s="1237" t="s">
        <v>1188</v>
      </c>
      <c r="H156" s="380"/>
      <c r="I156" s="380"/>
    </row>
    <row r="157" spans="3:23" ht="12.75" customHeight="1">
      <c r="N157" s="299"/>
      <c r="O157" s="299"/>
      <c r="P157" s="299"/>
      <c r="Q157" s="299"/>
    </row>
    <row r="158" spans="3:23">
      <c r="N158" s="299"/>
      <c r="O158" s="299"/>
      <c r="P158" s="299"/>
      <c r="Q158" s="299"/>
    </row>
    <row r="159" spans="3:23">
      <c r="N159" s="299"/>
      <c r="O159" s="299"/>
      <c r="P159" s="299"/>
      <c r="Q159" s="299"/>
    </row>
    <row r="160" spans="3:23">
      <c r="N160" s="299"/>
      <c r="O160" s="299"/>
      <c r="P160" s="299"/>
      <c r="Q160" s="299"/>
    </row>
    <row r="161" spans="2:17">
      <c r="K161" s="299"/>
      <c r="L161" s="299"/>
      <c r="M161" s="299"/>
      <c r="N161" s="299"/>
    </row>
    <row r="162" spans="2:17">
      <c r="K162" s="299"/>
      <c r="L162" s="299"/>
      <c r="M162" s="299"/>
      <c r="N162" s="299"/>
    </row>
    <row r="163" spans="2:17">
      <c r="K163" s="299"/>
      <c r="L163" s="299"/>
      <c r="M163" s="299"/>
      <c r="N163" s="299"/>
    </row>
    <row r="164" spans="2:17">
      <c r="G164" s="25"/>
      <c r="H164" s="25" t="s">
        <v>483</v>
      </c>
      <c r="I164" s="25" t="s">
        <v>484</v>
      </c>
      <c r="K164" s="299"/>
      <c r="L164" s="299"/>
      <c r="M164" s="299"/>
      <c r="N164" s="299"/>
    </row>
    <row r="165" spans="2:17">
      <c r="G165" s="25" t="s">
        <v>485</v>
      </c>
      <c r="H165" s="343"/>
      <c r="I165" s="134"/>
      <c r="K165" s="299"/>
      <c r="L165" s="299"/>
      <c r="M165" s="299"/>
      <c r="N165" s="299"/>
    </row>
    <row r="166" spans="2:17">
      <c r="G166" s="25" t="s">
        <v>486</v>
      </c>
      <c r="H166" s="343"/>
      <c r="I166" s="134"/>
      <c r="N166" s="299"/>
      <c r="O166" s="299"/>
      <c r="P166" s="299"/>
      <c r="Q166" s="299"/>
    </row>
    <row r="167" spans="2:17">
      <c r="G167" s="25" t="s">
        <v>487</v>
      </c>
      <c r="H167" s="343"/>
      <c r="I167" s="134"/>
      <c r="N167" s="299"/>
      <c r="O167" s="299"/>
      <c r="P167" s="299"/>
      <c r="Q167" s="299"/>
    </row>
    <row r="168" spans="2:17">
      <c r="G168" s="271" t="s">
        <v>150</v>
      </c>
      <c r="H168" s="344"/>
      <c r="I168" s="25"/>
      <c r="J168" t="e">
        <f>H165*I165/(H165+H166)</f>
        <v>#DIV/0!</v>
      </c>
      <c r="N168" s="299"/>
      <c r="O168" s="299"/>
      <c r="P168" s="299"/>
      <c r="Q168" s="299"/>
    </row>
    <row r="169" spans="2:17">
      <c r="N169" s="299"/>
      <c r="O169" s="299"/>
      <c r="P169" s="299"/>
      <c r="Q169" s="299"/>
    </row>
    <row r="170" spans="2:17" ht="15">
      <c r="G170" s="345" t="s">
        <v>488</v>
      </c>
      <c r="H170" s="346"/>
      <c r="I170" t="s">
        <v>498</v>
      </c>
      <c r="N170" s="299"/>
      <c r="O170" s="299"/>
      <c r="P170" s="299"/>
      <c r="Q170" s="299"/>
    </row>
    <row r="171" spans="2:17" ht="15">
      <c r="G171" s="345" t="s">
        <v>489</v>
      </c>
      <c r="H171" s="346">
        <v>0.75</v>
      </c>
      <c r="I171" s="347" t="s">
        <v>490</v>
      </c>
    </row>
    <row r="172" spans="2:17" ht="15">
      <c r="G172" s="345" t="s">
        <v>491</v>
      </c>
      <c r="H172" s="346">
        <v>0.25</v>
      </c>
      <c r="I172" s="347" t="s">
        <v>492</v>
      </c>
    </row>
    <row r="173" spans="2:17" ht="15.75" thickBot="1">
      <c r="G173" s="345" t="s">
        <v>493</v>
      </c>
      <c r="H173" s="346"/>
      <c r="I173" t="s">
        <v>494</v>
      </c>
      <c r="M173" t="s">
        <v>448</v>
      </c>
      <c r="N173" s="304">
        <v>150000</v>
      </c>
      <c r="O173" s="352"/>
    </row>
    <row r="174" spans="2:17" ht="15">
      <c r="B174" s="40" t="s">
        <v>140</v>
      </c>
      <c r="C174" s="285">
        <f>C182*C176+C183*(1-C180)*C181</f>
        <v>0.13486200000000001</v>
      </c>
      <c r="G174" s="345" t="s">
        <v>495</v>
      </c>
      <c r="H174" s="346"/>
      <c r="I174" t="s">
        <v>496</v>
      </c>
      <c r="M174" t="s">
        <v>448</v>
      </c>
      <c r="N174" s="305">
        <v>160000</v>
      </c>
      <c r="O174" s="353"/>
    </row>
    <row r="175" spans="2:17" ht="15.75" thickBot="1">
      <c r="B175" s="42" t="s">
        <v>141</v>
      </c>
      <c r="C175" s="43" t="s">
        <v>142</v>
      </c>
      <c r="M175" t="s">
        <v>449</v>
      </c>
    </row>
    <row r="176" spans="2:17" ht="15.75" thickBot="1">
      <c r="B176" s="44" t="s">
        <v>143</v>
      </c>
      <c r="C176" s="573">
        <f>C177+C178*(C179-C177)</f>
        <v>0.13</v>
      </c>
      <c r="G176" s="348" t="s">
        <v>497</v>
      </c>
      <c r="H176" s="349">
        <f>H170*H171+H173*H172*(1-H174)</f>
        <v>0</v>
      </c>
    </row>
    <row r="177" spans="2:15" ht="15">
      <c r="B177" s="44" t="s">
        <v>144</v>
      </c>
      <c r="C177" s="821">
        <v>0.04</v>
      </c>
      <c r="D177" s="785" t="s">
        <v>889</v>
      </c>
    </row>
    <row r="178" spans="2:15" ht="18.75" thickBot="1">
      <c r="B178" s="47" t="s">
        <v>7</v>
      </c>
      <c r="C178" s="1035">
        <v>1.5</v>
      </c>
      <c r="D178" s="786" t="s">
        <v>886</v>
      </c>
      <c r="I178" s="350" t="s">
        <v>502</v>
      </c>
    </row>
    <row r="179" spans="2:15" ht="18">
      <c r="B179" s="47" t="s">
        <v>146</v>
      </c>
      <c r="C179" s="1036">
        <v>0.1</v>
      </c>
      <c r="D179" s="4" t="s">
        <v>890</v>
      </c>
      <c r="I179" s="350" t="s">
        <v>883</v>
      </c>
    </row>
    <row r="180" spans="2:15" ht="18">
      <c r="B180" s="47" t="s">
        <v>148</v>
      </c>
      <c r="C180" s="1036">
        <v>0.35</v>
      </c>
      <c r="D180" s="4" t="s">
        <v>1161</v>
      </c>
      <c r="I180" s="350" t="s">
        <v>884</v>
      </c>
    </row>
    <row r="181" spans="2:15" ht="18">
      <c r="B181" s="47" t="s">
        <v>150</v>
      </c>
      <c r="C181" s="1036">
        <f>P200</f>
        <v>0.21870000000000001</v>
      </c>
      <c r="D181" s="4"/>
      <c r="I181" s="350" t="s">
        <v>885</v>
      </c>
    </row>
    <row r="182" spans="2:15">
      <c r="B182" s="47" t="s">
        <v>152</v>
      </c>
      <c r="C182" s="1036">
        <v>0.6</v>
      </c>
      <c r="D182" s="4"/>
      <c r="E182" s="4"/>
      <c r="F182" s="4"/>
    </row>
    <row r="183" spans="2:15" ht="13.5" thickBot="1">
      <c r="B183" s="50" t="s">
        <v>154</v>
      </c>
      <c r="C183" s="1039">
        <v>0.4</v>
      </c>
      <c r="D183" s="4"/>
      <c r="E183" s="4"/>
      <c r="F183" s="4"/>
    </row>
    <row r="185" spans="2:15" ht="15.75">
      <c r="B185" s="570" t="s">
        <v>143</v>
      </c>
      <c r="C185" s="571">
        <f>C187+C186*(C188-C187)</f>
        <v>0.41000000000000003</v>
      </c>
      <c r="D185" t="s">
        <v>744</v>
      </c>
      <c r="L185" s="579"/>
    </row>
    <row r="186" spans="2:15" ht="14.25">
      <c r="B186" s="570" t="s">
        <v>745</v>
      </c>
      <c r="C186" s="491">
        <v>1.8</v>
      </c>
      <c r="D186" t="s">
        <v>746</v>
      </c>
      <c r="K186" s="254"/>
      <c r="L186" s="208"/>
    </row>
    <row r="187" spans="2:15" ht="14.25">
      <c r="B187" s="570" t="s">
        <v>144</v>
      </c>
      <c r="C187" s="572">
        <v>0.05</v>
      </c>
      <c r="D187" t="s">
        <v>747</v>
      </c>
      <c r="K187" s="254"/>
      <c r="L187" s="208"/>
      <c r="N187" s="580">
        <f>L200</f>
        <v>520000</v>
      </c>
      <c r="O187" s="208">
        <v>1</v>
      </c>
    </row>
    <row r="188" spans="2:15" ht="14.25">
      <c r="B188" s="570" t="s">
        <v>146</v>
      </c>
      <c r="C188" s="572">
        <v>0.25</v>
      </c>
      <c r="K188" s="254"/>
      <c r="L188" s="1215"/>
      <c r="N188" s="580">
        <f>L197</f>
        <v>100000</v>
      </c>
      <c r="O188" s="581">
        <f>(N188*O187)/N187</f>
        <v>0.19230769230769232</v>
      </c>
    </row>
    <row r="190" spans="2:15">
      <c r="N190" s="580">
        <f>L200</f>
        <v>520000</v>
      </c>
      <c r="O190" s="208">
        <v>1</v>
      </c>
    </row>
    <row r="191" spans="2:15" ht="14.25">
      <c r="B191" s="570"/>
      <c r="C191" s="574"/>
      <c r="D191" s="574"/>
      <c r="E191" s="574"/>
      <c r="F191" s="574"/>
      <c r="G191" s="574"/>
      <c r="H191" s="574"/>
      <c r="N191" s="582">
        <f>L198</f>
        <v>120000</v>
      </c>
      <c r="O191" s="583">
        <f>(N191*O190)/N190</f>
        <v>0.23076923076923078</v>
      </c>
    </row>
    <row r="192" spans="2:15">
      <c r="C192" s="303"/>
      <c r="D192" s="303"/>
      <c r="E192" s="303"/>
      <c r="F192" s="303"/>
      <c r="G192" s="303"/>
      <c r="H192" s="303"/>
    </row>
    <row r="193" spans="2:16">
      <c r="C193" s="303"/>
      <c r="D193" s="303"/>
      <c r="E193" s="303"/>
      <c r="F193" s="303"/>
      <c r="G193" s="303"/>
      <c r="H193" s="303"/>
      <c r="L193" t="s">
        <v>751</v>
      </c>
      <c r="N193" s="580">
        <f>L200</f>
        <v>520000</v>
      </c>
      <c r="O193" s="208">
        <v>1</v>
      </c>
    </row>
    <row r="194" spans="2:16" ht="14.25">
      <c r="C194" s="575"/>
      <c r="D194" s="576"/>
      <c r="E194" s="574"/>
      <c r="F194" s="584"/>
      <c r="G194" s="576"/>
      <c r="H194" s="576"/>
      <c r="N194" s="582">
        <f>L199</f>
        <v>300000</v>
      </c>
      <c r="O194" s="585">
        <f>(N194*O193)/N193</f>
        <v>0.57692307692307687</v>
      </c>
    </row>
    <row r="196" spans="2:16" ht="14.25">
      <c r="L196" s="570" t="s">
        <v>752</v>
      </c>
      <c r="N196" s="491" t="s">
        <v>1103</v>
      </c>
    </row>
    <row r="197" spans="2:16" ht="14.25">
      <c r="B197" s="570"/>
      <c r="C197" s="578"/>
      <c r="L197" s="582">
        <v>100000</v>
      </c>
      <c r="N197" s="468">
        <v>0.5</v>
      </c>
      <c r="O197" s="586">
        <v>0.25</v>
      </c>
      <c r="P197" s="578">
        <f>N197*O197</f>
        <v>0.125</v>
      </c>
    </row>
    <row r="198" spans="2:16" ht="15" thickBot="1">
      <c r="L198" s="582">
        <v>120000</v>
      </c>
      <c r="N198" s="468">
        <v>0.35</v>
      </c>
      <c r="O198" s="1217">
        <v>0.11</v>
      </c>
      <c r="P198" s="578">
        <f>N198*O198</f>
        <v>3.85E-2</v>
      </c>
    </row>
    <row r="199" spans="2:16" ht="15" thickBot="1">
      <c r="C199" s="1782" t="s">
        <v>888</v>
      </c>
      <c r="D199" s="1783"/>
      <c r="E199" s="1783"/>
      <c r="F199" s="1783"/>
      <c r="G199" s="1783"/>
      <c r="H199" s="1783"/>
      <c r="I199" s="1784"/>
      <c r="L199" s="588">
        <v>300000</v>
      </c>
      <c r="N199" s="468">
        <v>0.48</v>
      </c>
      <c r="O199" s="1216">
        <v>0.115</v>
      </c>
      <c r="P199" s="578">
        <f>N199*O199</f>
        <v>5.5199999999999999E-2</v>
      </c>
    </row>
    <row r="200" spans="2:16" ht="15">
      <c r="C200" s="772" t="s">
        <v>143</v>
      </c>
      <c r="D200" s="773">
        <f>D202+D201*(D203-D202)</f>
        <v>0.41000000000000003</v>
      </c>
      <c r="E200" s="774" t="s">
        <v>744</v>
      </c>
      <c r="F200" s="774"/>
      <c r="G200" s="774"/>
      <c r="H200" s="774"/>
      <c r="I200" s="775"/>
      <c r="L200" s="582">
        <f>SUM(L197:L199)</f>
        <v>520000</v>
      </c>
      <c r="N200" s="491"/>
      <c r="P200" s="591">
        <f>SUM(P197:P199)</f>
        <v>0.21870000000000001</v>
      </c>
    </row>
    <row r="201" spans="2:16" ht="14.25">
      <c r="C201" s="776" t="s">
        <v>745</v>
      </c>
      <c r="D201" s="777">
        <v>1.8</v>
      </c>
      <c r="E201" s="257" t="s">
        <v>746</v>
      </c>
      <c r="F201" s="257"/>
      <c r="G201" s="257"/>
      <c r="H201" s="257"/>
      <c r="I201" s="778"/>
      <c r="N201" s="491"/>
    </row>
    <row r="202" spans="2:16" ht="14.25">
      <c r="C202" s="776" t="s">
        <v>144</v>
      </c>
      <c r="D202" s="779">
        <v>0.05</v>
      </c>
      <c r="E202" s="257" t="s">
        <v>747</v>
      </c>
      <c r="F202" s="257"/>
      <c r="G202" s="257"/>
      <c r="H202" s="257"/>
      <c r="I202" s="778"/>
    </row>
    <row r="203" spans="2:16" ht="14.25">
      <c r="C203" s="776" t="s">
        <v>146</v>
      </c>
      <c r="D203" s="779">
        <v>0.25</v>
      </c>
      <c r="E203" s="257"/>
      <c r="F203" s="257"/>
      <c r="G203" s="257"/>
      <c r="H203" s="257"/>
      <c r="I203" s="778"/>
      <c r="L203" s="548"/>
      <c r="M203" s="548"/>
      <c r="N203" s="548"/>
    </row>
    <row r="204" spans="2:16" ht="13.5" thickBot="1">
      <c r="C204" s="780"/>
      <c r="D204" s="781"/>
      <c r="E204" s="781"/>
      <c r="F204" s="781"/>
      <c r="G204" s="781"/>
      <c r="H204" s="781"/>
      <c r="I204" s="782"/>
      <c r="M204" s="787"/>
      <c r="N204" s="788"/>
    </row>
    <row r="205" spans="2:16">
      <c r="M205" s="787"/>
    </row>
    <row r="206" spans="2:16" ht="14.25">
      <c r="M206" s="789"/>
    </row>
  </sheetData>
  <mergeCells count="20">
    <mergeCell ref="M45:O45"/>
    <mergeCell ref="D98:G98"/>
    <mergeCell ref="I95:L95"/>
    <mergeCell ref="A2:B12"/>
    <mergeCell ref="M30:N30"/>
    <mergeCell ref="O35:S35"/>
    <mergeCell ref="M41:O41"/>
    <mergeCell ref="M42:O42"/>
    <mergeCell ref="J130:M130"/>
    <mergeCell ref="C199:I199"/>
    <mergeCell ref="D61:D67"/>
    <mergeCell ref="V66:Y66"/>
    <mergeCell ref="M75:Q75"/>
    <mergeCell ref="M83:Q83"/>
    <mergeCell ref="B84:K84"/>
    <mergeCell ref="N85:O91"/>
    <mergeCell ref="K86:K90"/>
    <mergeCell ref="L86:L89"/>
    <mergeCell ref="M86:M90"/>
    <mergeCell ref="E91:F91"/>
  </mergeCells>
  <conditionalFormatting sqref="G63:K63">
    <cfRule type="containsText" dxfId="11"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5"/>
  <sheetViews>
    <sheetView workbookViewId="0"/>
  </sheetViews>
  <sheetFormatPr defaultColWidth="14.42578125" defaultRowHeight="15.75" customHeight="1"/>
  <sheetData>
    <row r="1" spans="1:2">
      <c r="A1" s="4" t="s">
        <v>15</v>
      </c>
    </row>
    <row r="2" spans="1:2">
      <c r="A2" s="4" t="s">
        <v>16</v>
      </c>
    </row>
    <row r="3" spans="1:2">
      <c r="A3" s="4" t="s">
        <v>17</v>
      </c>
      <c r="B3" s="4" t="s">
        <v>18</v>
      </c>
    </row>
    <row r="4" spans="1:2">
      <c r="B4" s="4" t="s">
        <v>19</v>
      </c>
    </row>
    <row r="5" spans="1:2">
      <c r="B5" s="4" t="s">
        <v>20</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F2E9-B08F-4974-829E-33488F32C38B}">
  <dimension ref="A2:Y206"/>
  <sheetViews>
    <sheetView topLeftCell="A126" workbookViewId="0">
      <selection activeCell="N196" sqref="N196"/>
    </sheetView>
  </sheetViews>
  <sheetFormatPr defaultRowHeight="12.75"/>
  <cols>
    <col min="1" max="1" width="11.5703125" customWidth="1"/>
    <col min="3" max="3" width="35.42578125" bestFit="1" customWidth="1"/>
    <col min="4" max="4" width="37.28515625" bestFit="1" customWidth="1"/>
    <col min="5" max="5" width="19.5703125" customWidth="1"/>
    <col min="6" max="6" width="23.140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c r="N13" s="597" t="s">
        <v>506</v>
      </c>
      <c r="O13" s="351"/>
    </row>
    <row r="14" spans="1:15">
      <c r="M14" s="596"/>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3:21">
      <c r="M34" s="351"/>
    </row>
    <row r="35" spans="3:21">
      <c r="O35" s="1755"/>
      <c r="P35" s="1714"/>
      <c r="Q35" s="1714"/>
      <c r="R35" s="1714"/>
      <c r="S35" s="1714"/>
    </row>
    <row r="36" spans="3:21">
      <c r="O36" s="700"/>
      <c r="P36" s="700"/>
      <c r="Q36" s="700"/>
      <c r="R36" s="700"/>
      <c r="S36" s="700"/>
    </row>
    <row r="37" spans="3:21">
      <c r="C37" s="351"/>
      <c r="O37" s="702"/>
      <c r="P37" s="702"/>
      <c r="Q37" s="702"/>
      <c r="R37" s="702"/>
      <c r="S37" s="702"/>
    </row>
    <row r="38" spans="3:21">
      <c r="C38" s="351"/>
    </row>
    <row r="39" spans="3:21">
      <c r="C39" s="351"/>
    </row>
    <row r="40" spans="3:21">
      <c r="C40" s="208"/>
    </row>
    <row r="41" spans="3:21">
      <c r="C41" s="208"/>
      <c r="M41" s="1755"/>
      <c r="N41" s="1755"/>
      <c r="O41" s="1755"/>
      <c r="P41" s="701"/>
      <c r="Q41" s="701"/>
      <c r="R41" s="701"/>
      <c r="S41" s="701"/>
      <c r="T41" s="300"/>
      <c r="U41" s="301"/>
    </row>
    <row r="42" spans="3:21">
      <c r="M42" s="1755"/>
      <c r="N42" s="1714"/>
      <c r="O42" s="1714"/>
    </row>
    <row r="43" spans="3:21">
      <c r="M43" s="700"/>
      <c r="N43" s="700"/>
      <c r="O43" s="700"/>
    </row>
    <row r="44" spans="3:21">
      <c r="M44" s="703"/>
      <c r="N44" s="702"/>
      <c r="O44" s="702"/>
    </row>
    <row r="45" spans="3:21">
      <c r="M45" s="1755"/>
      <c r="N45" s="1714"/>
      <c r="O45" s="1714"/>
    </row>
    <row r="46" spans="3:21">
      <c r="M46" s="700"/>
      <c r="N46" s="701"/>
      <c r="O46" s="701"/>
    </row>
    <row r="47" spans="3:21">
      <c r="M47" s="700"/>
      <c r="N47" s="701"/>
      <c r="O47" s="701"/>
    </row>
    <row r="48" spans="3: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I57" s="351"/>
      <c r="M57" s="731" t="s">
        <v>832</v>
      </c>
      <c r="N57" s="583"/>
      <c r="U57" s="4"/>
      <c r="V57" s="547"/>
      <c r="W57" s="548"/>
    </row>
    <row r="58" spans="4:23" ht="14.25">
      <c r="I58" s="667"/>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10811.7</v>
      </c>
      <c r="K67" s="693">
        <f>J67*(1+K66)</f>
        <v>8409.1</v>
      </c>
      <c r="L67" s="692">
        <f>K67*(1+L66)</f>
        <v>11212.133333333333</v>
      </c>
      <c r="M67" s="692">
        <f>L67*(1+M66)</f>
        <v>14949.511111111111</v>
      </c>
      <c r="N67" s="692">
        <f>M67*(1+N66)</f>
        <v>19932.681481481479</v>
      </c>
      <c r="U67" s="551"/>
      <c r="V67" s="552"/>
      <c r="W67" s="552"/>
      <c r="X67" s="552"/>
      <c r="Y67" s="553"/>
    </row>
    <row r="68" spans="1:25" ht="15">
      <c r="U68" s="554"/>
      <c r="V68" s="555"/>
      <c r="W68" s="556"/>
      <c r="X68" s="555"/>
      <c r="Y68" s="557"/>
    </row>
    <row r="69" spans="1:25" ht="15">
      <c r="G69" s="697" t="s">
        <v>830</v>
      </c>
      <c r="H69" s="698">
        <f>M86*1.8</f>
        <v>10811.7</v>
      </c>
      <c r="I69" s="695"/>
      <c r="J69" s="694"/>
      <c r="K69" s="695"/>
      <c r="M69" s="259" t="s">
        <v>0</v>
      </c>
      <c r="N69" s="260">
        <v>0.12</v>
      </c>
      <c r="O69" s="261" t="s">
        <v>3</v>
      </c>
      <c r="P69" s="261" t="s">
        <v>3</v>
      </c>
      <c r="U69" s="554"/>
      <c r="V69" s="558"/>
      <c r="W69" s="556"/>
      <c r="X69" s="555"/>
      <c r="Y69" s="557"/>
    </row>
    <row r="70" spans="1:25" ht="15">
      <c r="G70" s="548"/>
      <c r="H70" s="694"/>
      <c r="I70" s="695"/>
      <c r="J70" s="694"/>
      <c r="K70" s="695"/>
      <c r="M70" s="21"/>
      <c r="N70" s="23" t="s">
        <v>3</v>
      </c>
      <c r="O70" s="261">
        <f>(1+N69/6)^6</f>
        <v>1.1261624192640001</v>
      </c>
      <c r="P70" s="266">
        <f>O70-1</f>
        <v>0.12616241926400007</v>
      </c>
      <c r="U70" s="559"/>
      <c r="V70" s="560"/>
      <c r="W70" s="556"/>
      <c r="X70" s="561"/>
      <c r="Y70" s="557"/>
    </row>
    <row r="71" spans="1:25" ht="14.25">
      <c r="A71" s="767" t="s">
        <v>865</v>
      </c>
      <c r="B71" s="767" t="s">
        <v>1121</v>
      </c>
      <c r="C71" s="767"/>
      <c r="D71" s="257"/>
      <c r="G71" s="548"/>
      <c r="H71" s="694"/>
      <c r="I71" s="695"/>
      <c r="J71" s="694"/>
      <c r="K71" s="695"/>
      <c r="M71" s="21"/>
      <c r="N71" s="23"/>
    </row>
    <row r="72" spans="1:25">
      <c r="A72" s="257"/>
      <c r="B72" s="767"/>
      <c r="C72" s="257"/>
      <c r="D72" s="257"/>
      <c r="M72" s="21"/>
      <c r="N72" s="39"/>
    </row>
    <row r="73" spans="1:25" ht="14.25">
      <c r="A73" s="257"/>
      <c r="B73" s="767"/>
      <c r="C73" s="257"/>
      <c r="D73" s="257"/>
      <c r="G73" s="798"/>
      <c r="H73" s="799"/>
      <c r="I73" s="799"/>
      <c r="J73" s="800"/>
      <c r="K73" s="800"/>
      <c r="M73" s="21"/>
      <c r="N73" s="23"/>
    </row>
    <row r="74" spans="1:25" ht="14.25">
      <c r="A74" s="257"/>
      <c r="B74" s="767"/>
      <c r="C74" s="257"/>
      <c r="D74" s="257"/>
      <c r="G74" s="799"/>
      <c r="H74" s="799"/>
      <c r="I74" s="799"/>
      <c r="J74" s="798"/>
      <c r="K74" s="799"/>
    </row>
    <row r="75" spans="1:25" ht="14.25">
      <c r="A75" s="257"/>
      <c r="B75" s="767"/>
      <c r="C75" s="257"/>
      <c r="D75" s="257"/>
      <c r="G75" s="801"/>
      <c r="H75" s="799"/>
      <c r="I75" s="799"/>
      <c r="J75" s="798"/>
      <c r="K75" s="799"/>
      <c r="M75" s="1615" t="s">
        <v>103</v>
      </c>
      <c r="N75" s="1613"/>
      <c r="O75" s="1613"/>
      <c r="P75" s="1613"/>
      <c r="Q75" s="1614"/>
      <c r="S75" s="769"/>
      <c r="T75" s="254"/>
      <c r="U75" s="254"/>
      <c r="V75" s="254"/>
      <c r="W75" s="254"/>
      <c r="X75" s="254"/>
    </row>
    <row r="76" spans="1:25" ht="14.25">
      <c r="E76" s="351" t="s">
        <v>1145</v>
      </c>
      <c r="G76" s="799"/>
      <c r="H76" s="802"/>
      <c r="I76" s="799"/>
      <c r="J76" s="798"/>
      <c r="K76" s="799"/>
      <c r="M76" s="24" t="s">
        <v>105</v>
      </c>
      <c r="N76" s="24" t="s">
        <v>106</v>
      </c>
      <c r="O76" s="24" t="s">
        <v>102</v>
      </c>
      <c r="P76" s="24" t="s">
        <v>134</v>
      </c>
      <c r="Q76" s="24" t="s">
        <v>107</v>
      </c>
      <c r="S76" s="254"/>
      <c r="T76" s="254"/>
      <c r="U76" s="254"/>
      <c r="V76" s="254"/>
      <c r="W76" s="254"/>
      <c r="X76" s="254"/>
    </row>
    <row r="77" spans="1:25" ht="14.25">
      <c r="E77" s="254">
        <v>8700</v>
      </c>
      <c r="G77" s="802"/>
      <c r="H77" s="802"/>
      <c r="I77" s="799"/>
      <c r="J77" s="799"/>
      <c r="K77" s="799"/>
      <c r="M77" s="25"/>
      <c r="N77" s="26"/>
      <c r="O77" s="26"/>
      <c r="P77" s="26"/>
      <c r="Q77" s="26">
        <f>D146</f>
        <v>0</v>
      </c>
      <c r="S77" s="254"/>
      <c r="T77" s="254"/>
      <c r="U77" s="254"/>
      <c r="V77" s="254"/>
      <c r="W77" s="254"/>
      <c r="X77" s="254"/>
    </row>
    <row r="78" spans="1:25" ht="14.25">
      <c r="D78" s="351" t="s">
        <v>1135</v>
      </c>
      <c r="E78" s="254">
        <f>E77*0.9</f>
        <v>7830</v>
      </c>
      <c r="G78" s="802"/>
      <c r="H78" s="802"/>
      <c r="I78" s="799"/>
      <c r="J78" s="799"/>
      <c r="K78" s="799"/>
      <c r="M78" s="25">
        <v>1</v>
      </c>
      <c r="N78" s="26">
        <f>P70*Q77/(1-(1+P70)^-5)</f>
        <v>0</v>
      </c>
      <c r="O78" s="26">
        <f>Q77*$P$70</f>
        <v>0</v>
      </c>
      <c r="P78" s="26">
        <f>N78-O78</f>
        <v>0</v>
      </c>
      <c r="Q78" s="26">
        <f>Q77-P78</f>
        <v>0</v>
      </c>
      <c r="S78" s="254"/>
      <c r="T78" s="254"/>
      <c r="U78" s="254"/>
      <c r="V78" s="254"/>
      <c r="W78" s="254"/>
      <c r="X78" s="254"/>
    </row>
    <row r="79" spans="1:25" ht="14.25">
      <c r="D79" s="351" t="s">
        <v>1136</v>
      </c>
      <c r="E79" s="254">
        <f>E77*0.95</f>
        <v>8265</v>
      </c>
      <c r="G79" s="802"/>
      <c r="H79" s="799"/>
      <c r="I79" s="799"/>
      <c r="J79" s="799"/>
      <c r="K79" s="799"/>
      <c r="M79" s="25">
        <v>2</v>
      </c>
      <c r="N79" s="26">
        <f>P70*Q77/(1-(1+P70)^-5)</f>
        <v>0</v>
      </c>
      <c r="O79" s="26">
        <f>Q78*$P$70</f>
        <v>0</v>
      </c>
      <c r="P79" s="26">
        <f>N79-O79</f>
        <v>0</v>
      </c>
      <c r="Q79" s="26">
        <f>Q78-P79</f>
        <v>0</v>
      </c>
      <c r="S79" s="254"/>
      <c r="T79" s="254"/>
      <c r="U79" s="254"/>
      <c r="V79" s="254"/>
      <c r="W79" s="254"/>
      <c r="X79" s="254"/>
    </row>
    <row r="80" spans="1:25">
      <c r="G80" s="803"/>
      <c r="H80" s="799"/>
      <c r="I80" s="799"/>
      <c r="J80" s="799"/>
      <c r="K80" s="799"/>
      <c r="M80" s="25">
        <v>3</v>
      </c>
      <c r="N80" s="26">
        <f>P70*Q77/(1-(1+P70)^-5)</f>
        <v>0</v>
      </c>
      <c r="O80" s="26">
        <f>Q79*$P$70</f>
        <v>0</v>
      </c>
      <c r="P80" s="26">
        <f>N80-O80</f>
        <v>0</v>
      </c>
      <c r="Q80" s="26">
        <f>Q79-P80</f>
        <v>0</v>
      </c>
    </row>
    <row r="81" spans="2:17">
      <c r="G81" s="804"/>
      <c r="H81" s="799"/>
      <c r="I81" s="799"/>
      <c r="J81" s="799"/>
      <c r="K81" s="799"/>
      <c r="M81" s="25">
        <v>4</v>
      </c>
      <c r="N81" s="26">
        <f>P70*Q77/(1-(1+P70)^-5)</f>
        <v>0</v>
      </c>
      <c r="O81" s="26">
        <f>Q80*$P$70</f>
        <v>0</v>
      </c>
      <c r="P81" s="26">
        <f>N81-O81</f>
        <v>0</v>
      </c>
      <c r="Q81" s="26">
        <f>Q80-P81</f>
        <v>0</v>
      </c>
    </row>
    <row r="82" spans="2:17">
      <c r="M82" s="766">
        <v>5</v>
      </c>
      <c r="N82" s="26">
        <f>P70*Q77/(1-(1+P70)^-5)</f>
        <v>0</v>
      </c>
      <c r="O82" s="26">
        <f>Q81*$P$70</f>
        <v>0</v>
      </c>
      <c r="P82" s="26">
        <f>N82-O82</f>
        <v>0</v>
      </c>
      <c r="Q82" s="26">
        <f>Q81-P82</f>
        <v>0</v>
      </c>
    </row>
    <row r="83" spans="2:17" ht="13.5" thickBot="1">
      <c r="M83" s="1785"/>
      <c r="N83" s="1714"/>
      <c r="O83" s="1714"/>
      <c r="P83" s="1714"/>
      <c r="Q83" s="1714"/>
    </row>
    <row r="84" spans="2:17" ht="15" thickBot="1">
      <c r="B84" s="1756" t="s">
        <v>1131</v>
      </c>
      <c r="C84" s="1757"/>
      <c r="D84" s="1757"/>
      <c r="E84" s="1757"/>
      <c r="F84" s="1757"/>
      <c r="G84" s="1757"/>
      <c r="H84" s="1757"/>
      <c r="I84" s="1757"/>
      <c r="J84" s="1757"/>
      <c r="K84" s="1758"/>
      <c r="L84" s="1056"/>
      <c r="M84" s="1056"/>
      <c r="N84" s="2"/>
      <c r="O84" s="2"/>
      <c r="P84" s="2"/>
      <c r="Q84" s="2"/>
    </row>
    <row r="85" spans="2:17" ht="30.75" thickBot="1">
      <c r="B85" s="1116" t="s">
        <v>577</v>
      </c>
      <c r="C85" s="402" t="s">
        <v>578</v>
      </c>
      <c r="D85" s="403" t="s">
        <v>579</v>
      </c>
      <c r="E85" s="403" t="s">
        <v>102</v>
      </c>
      <c r="F85" s="403" t="s">
        <v>580</v>
      </c>
      <c r="G85" s="403" t="s">
        <v>1128</v>
      </c>
      <c r="H85" s="403" t="s">
        <v>582</v>
      </c>
      <c r="I85" s="404" t="s">
        <v>583</v>
      </c>
      <c r="J85" s="405" t="s">
        <v>584</v>
      </c>
      <c r="K85" s="401" t="s">
        <v>585</v>
      </c>
      <c r="L85" s="1056"/>
      <c r="M85" s="401" t="s">
        <v>586</v>
      </c>
      <c r="N85" s="1759" t="s">
        <v>881</v>
      </c>
      <c r="O85" s="1759"/>
      <c r="P85" s="2"/>
      <c r="Q85" s="2"/>
    </row>
    <row r="86" spans="2:17" ht="14.25">
      <c r="B86" s="1115" t="s">
        <v>589</v>
      </c>
      <c r="C86" s="1105">
        <f>400/5</f>
        <v>80</v>
      </c>
      <c r="D86" s="1106" t="s">
        <v>1124</v>
      </c>
      <c r="E86" s="1107"/>
      <c r="F86" s="1107">
        <v>0</v>
      </c>
      <c r="G86" s="1108">
        <f>1+F86</f>
        <v>1</v>
      </c>
      <c r="H86" s="1109">
        <f>C86/G86</f>
        <v>80</v>
      </c>
      <c r="I86" s="1106">
        <v>1.35</v>
      </c>
      <c r="J86" s="1110">
        <f>I86*H86*(1+E86)</f>
        <v>108</v>
      </c>
      <c r="K86" s="1836">
        <f>SUM(J86:J90)</f>
        <v>5891.5</v>
      </c>
      <c r="L86" s="1717" t="s">
        <v>588</v>
      </c>
      <c r="M86" s="1718">
        <f>SUM(K86,L90)</f>
        <v>6006.5</v>
      </c>
      <c r="N86" s="1759"/>
      <c r="O86" s="1759"/>
      <c r="P86" s="2"/>
      <c r="Q86" s="2"/>
    </row>
    <row r="87" spans="2:17" ht="14.25">
      <c r="B87" s="1104" t="s">
        <v>1125</v>
      </c>
      <c r="C87" s="1105">
        <v>150</v>
      </c>
      <c r="D87" s="1106" t="s">
        <v>1126</v>
      </c>
      <c r="E87" s="1107">
        <v>0</v>
      </c>
      <c r="F87" s="1107"/>
      <c r="G87" s="1108">
        <f>1+F87</f>
        <v>1</v>
      </c>
      <c r="H87" s="1109">
        <f>C87/G87</f>
        <v>150</v>
      </c>
      <c r="I87" s="1108">
        <v>0.35</v>
      </c>
      <c r="J87" s="1110">
        <f>I87*H87*(1+E87)</f>
        <v>52.5</v>
      </c>
      <c r="K87" s="1837"/>
      <c r="L87" s="1717"/>
      <c r="M87" s="1718"/>
      <c r="N87" s="1759"/>
      <c r="O87" s="1759"/>
      <c r="P87" s="2"/>
      <c r="Q87" s="2"/>
    </row>
    <row r="88" spans="2:17" ht="14.25">
      <c r="B88" s="1104" t="s">
        <v>587</v>
      </c>
      <c r="C88" s="1105">
        <v>580</v>
      </c>
      <c r="D88" s="1106" t="s">
        <v>1127</v>
      </c>
      <c r="E88" s="1107"/>
      <c r="F88" s="1107">
        <v>0.2</v>
      </c>
      <c r="G88" s="1108">
        <f>1+F88</f>
        <v>1.2</v>
      </c>
      <c r="H88" s="1109">
        <f>C88*G88</f>
        <v>696</v>
      </c>
      <c r="I88" s="1106">
        <v>5</v>
      </c>
      <c r="J88" s="1110">
        <f>I88*H88*(1+E88)</f>
        <v>3480</v>
      </c>
      <c r="K88" s="1837"/>
      <c r="L88" s="1717"/>
      <c r="M88" s="1718"/>
      <c r="N88" s="1759"/>
      <c r="O88" s="1759"/>
      <c r="P88" s="2"/>
      <c r="Q88" s="2"/>
    </row>
    <row r="89" spans="2:17" ht="14.25">
      <c r="B89" s="1104" t="s">
        <v>1129</v>
      </c>
      <c r="C89" s="1105">
        <v>268</v>
      </c>
      <c r="D89" s="1106" t="s">
        <v>591</v>
      </c>
      <c r="E89" s="1107"/>
      <c r="F89" s="1107"/>
      <c r="G89" s="1108">
        <f>1+F89</f>
        <v>1</v>
      </c>
      <c r="H89" s="1109">
        <f>C89/G89</f>
        <v>268</v>
      </c>
      <c r="I89" s="1106">
        <v>8</v>
      </c>
      <c r="J89" s="1110">
        <f>I89*H89*(1+E89)</f>
        <v>2144</v>
      </c>
      <c r="K89" s="1837"/>
      <c r="L89" s="1717"/>
      <c r="M89" s="1718"/>
      <c r="N89" s="1759"/>
      <c r="O89" s="1759"/>
      <c r="P89" s="2"/>
      <c r="Q89" s="2"/>
    </row>
    <row r="90" spans="2:17" ht="15.75" thickBot="1">
      <c r="B90" s="1111" t="s">
        <v>1130</v>
      </c>
      <c r="C90" s="1112">
        <f>63+44</f>
        <v>107</v>
      </c>
      <c r="D90" s="1113" t="s">
        <v>594</v>
      </c>
      <c r="E90" s="1114"/>
      <c r="F90" s="1114"/>
      <c r="G90" s="1108">
        <f>1+F90</f>
        <v>1</v>
      </c>
      <c r="H90" s="1109">
        <f>C90/G90</f>
        <v>107</v>
      </c>
      <c r="I90" s="1113">
        <v>1</v>
      </c>
      <c r="J90" s="1110">
        <f>I90*H90*(1+E90)</f>
        <v>107</v>
      </c>
      <c r="K90" s="1838"/>
      <c r="L90" s="418">
        <v>115</v>
      </c>
      <c r="M90" s="1718"/>
      <c r="N90" s="1759"/>
      <c r="O90" s="1759"/>
      <c r="P90" s="2"/>
      <c r="Q90" s="2"/>
    </row>
    <row r="91" spans="2:17" ht="14.25">
      <c r="B91" s="1056"/>
      <c r="C91" s="419" t="s">
        <v>595</v>
      </c>
      <c r="D91" s="1056"/>
      <c r="E91" s="1719" t="s">
        <v>596</v>
      </c>
      <c r="F91" s="1720"/>
      <c r="I91" s="419" t="s">
        <v>595</v>
      </c>
      <c r="J91" s="1056"/>
      <c r="K91" s="1056"/>
      <c r="L91" s="419" t="s">
        <v>597</v>
      </c>
      <c r="M91" s="1056"/>
      <c r="N91" s="1759"/>
      <c r="O91" s="1759"/>
      <c r="P91" s="2"/>
      <c r="Q91" s="2"/>
    </row>
    <row r="92" spans="2:17" ht="14.25">
      <c r="G92" s="1117"/>
      <c r="H92" s="1118"/>
      <c r="M92" s="2"/>
      <c r="N92" s="2"/>
      <c r="O92" s="2"/>
      <c r="P92" s="2"/>
      <c r="Q92" s="2"/>
    </row>
    <row r="93" spans="2:17">
      <c r="H93" s="255"/>
      <c r="M93" s="2"/>
      <c r="N93" s="2"/>
      <c r="O93" s="2"/>
      <c r="P93" s="2"/>
      <c r="Q93" s="2"/>
    </row>
    <row r="94" spans="2:17" ht="13.5" thickBot="1">
      <c r="M94" s="2"/>
      <c r="N94" s="2"/>
      <c r="O94" s="2"/>
      <c r="P94" s="2"/>
      <c r="Q94" s="2"/>
    </row>
    <row r="95" spans="2:17" ht="34.5" customHeight="1">
      <c r="D95" s="1205" t="s">
        <v>1157</v>
      </c>
      <c r="E95" s="1206"/>
      <c r="F95" s="1207" t="s">
        <v>1154</v>
      </c>
      <c r="G95" s="1208">
        <f>(0.3*(100000))/((1+0.1144)^2)</f>
        <v>24156.780209116547</v>
      </c>
      <c r="I95" s="1842" t="s">
        <v>1160</v>
      </c>
      <c r="J95" s="1842"/>
      <c r="K95" s="1842"/>
      <c r="L95" s="1842"/>
      <c r="M95" s="2"/>
      <c r="N95" s="2"/>
      <c r="O95" s="2"/>
      <c r="P95" s="2"/>
      <c r="Q95" s="2"/>
    </row>
    <row r="96" spans="2:17" ht="13.5" customHeight="1">
      <c r="D96" s="1209"/>
      <c r="E96" s="257"/>
      <c r="F96" s="257"/>
      <c r="G96" s="1210" t="s">
        <v>1155</v>
      </c>
      <c r="M96" s="4"/>
      <c r="N96" s="5"/>
      <c r="O96" s="5"/>
      <c r="P96" s="5"/>
      <c r="Q96" s="5"/>
    </row>
    <row r="97" spans="3:22" ht="13.5" thickBot="1">
      <c r="D97" s="1211"/>
      <c r="E97" s="1212"/>
      <c r="F97" s="1212"/>
      <c r="G97" s="1213" t="s">
        <v>1156</v>
      </c>
      <c r="M97" s="4"/>
      <c r="N97" s="5"/>
      <c r="O97" s="5"/>
      <c r="P97" s="5"/>
      <c r="Q97" s="5"/>
    </row>
    <row r="98" spans="3:22" ht="13.5" thickBot="1">
      <c r="D98" s="1839" t="s">
        <v>1159</v>
      </c>
      <c r="E98" s="1840"/>
      <c r="F98" s="1840"/>
      <c r="G98" s="1841"/>
      <c r="M98" s="4"/>
      <c r="N98" s="5"/>
      <c r="O98" s="5"/>
      <c r="P98" s="5"/>
      <c r="Q98" s="5"/>
    </row>
    <row r="99" spans="3:22">
      <c r="H99" s="254"/>
      <c r="M99" s="4"/>
      <c r="N99" s="5"/>
      <c r="O99" s="5"/>
      <c r="P99" s="5"/>
      <c r="Q99" s="5"/>
    </row>
    <row r="101" spans="3:22">
      <c r="C101" s="272" t="s">
        <v>365</v>
      </c>
      <c r="D101" s="25"/>
      <c r="E101" s="595">
        <v>199000</v>
      </c>
      <c r="F101" s="595">
        <v>192000</v>
      </c>
      <c r="G101" s="595">
        <v>214500</v>
      </c>
      <c r="H101" s="595">
        <v>207500</v>
      </c>
      <c r="I101" s="595">
        <v>209000</v>
      </c>
      <c r="P101" s="272"/>
      <c r="Q101" s="25"/>
      <c r="R101" s="25"/>
      <c r="S101" s="25"/>
      <c r="T101" s="25"/>
      <c r="U101" s="25"/>
      <c r="V101" s="25"/>
    </row>
    <row r="102" spans="3:22">
      <c r="C102" s="27" t="s">
        <v>361</v>
      </c>
      <c r="D102" s="27" t="s">
        <v>112</v>
      </c>
      <c r="E102" s="27" t="s">
        <v>113</v>
      </c>
      <c r="F102" s="27" t="s">
        <v>114</v>
      </c>
      <c r="G102" s="27" t="s">
        <v>115</v>
      </c>
      <c r="H102" s="27" t="s">
        <v>116</v>
      </c>
      <c r="I102" s="27" t="s">
        <v>117</v>
      </c>
      <c r="P102" s="27"/>
      <c r="Q102" s="27"/>
      <c r="R102" s="27"/>
      <c r="S102" s="27"/>
      <c r="T102" s="27"/>
      <c r="U102" s="27"/>
      <c r="V102" s="27"/>
    </row>
    <row r="103" spans="3:22">
      <c r="C103" s="269" t="s">
        <v>118</v>
      </c>
      <c r="D103" s="270"/>
      <c r="E103" s="270"/>
      <c r="F103" s="270"/>
      <c r="G103" s="270"/>
      <c r="H103" s="270"/>
      <c r="I103" s="270"/>
      <c r="P103" s="269"/>
      <c r="Q103" s="270"/>
      <c r="R103" s="270"/>
      <c r="S103" s="270"/>
      <c r="T103" s="270"/>
      <c r="U103" s="270"/>
      <c r="V103" s="270"/>
    </row>
    <row r="104" spans="3:22">
      <c r="C104" s="25" t="s">
        <v>1143</v>
      </c>
      <c r="D104" s="752"/>
      <c r="E104" s="752">
        <f>8700*0.9*E101*0.65</f>
        <v>1012810500</v>
      </c>
      <c r="F104" s="752">
        <f>8800*0.9*F101</f>
        <v>1520640000</v>
      </c>
      <c r="G104" s="752">
        <f>8700*0.9*G101</f>
        <v>1679535000</v>
      </c>
      <c r="H104" s="752">
        <f>8900*0.9*H101</f>
        <v>1662075000</v>
      </c>
      <c r="I104" s="752">
        <f>9000*0.9*I101</f>
        <v>1692900000</v>
      </c>
      <c r="P104" s="25"/>
      <c r="Q104" s="26"/>
      <c r="R104" s="26"/>
      <c r="S104" s="26"/>
      <c r="T104" s="26"/>
      <c r="U104" s="26"/>
      <c r="V104" s="26"/>
    </row>
    <row r="105" spans="3:22">
      <c r="C105" s="25" t="s">
        <v>1144</v>
      </c>
      <c r="D105" s="752"/>
      <c r="E105" s="752">
        <f>8700*0.95*E101*0.35</f>
        <v>575657250</v>
      </c>
      <c r="F105" s="752">
        <f>8800*0.95*F101*0.35</f>
        <v>561792000</v>
      </c>
      <c r="G105" s="752">
        <f>8700*0.95*G101*0.35</f>
        <v>620494875</v>
      </c>
      <c r="H105" s="752">
        <f>8900*0.95*H101*0.35</f>
        <v>614044375</v>
      </c>
      <c r="I105" s="752">
        <f>9000*0.95*I101*0.35</f>
        <v>625432500</v>
      </c>
      <c r="P105" s="25"/>
      <c r="Q105" s="26"/>
      <c r="R105" s="26"/>
      <c r="S105" s="26"/>
      <c r="T105" s="26"/>
      <c r="U105" s="26"/>
      <c r="V105" s="26"/>
    </row>
    <row r="106" spans="3:22">
      <c r="C106" s="25" t="s">
        <v>867</v>
      </c>
      <c r="D106" s="752"/>
      <c r="E106" s="752"/>
      <c r="F106" s="752"/>
      <c r="G106" s="752"/>
      <c r="H106" s="752"/>
      <c r="I106" s="752"/>
      <c r="P106" s="25"/>
      <c r="Q106" s="26"/>
      <c r="R106" s="26"/>
      <c r="S106" s="26"/>
      <c r="T106" s="26"/>
      <c r="U106" s="26"/>
      <c r="V106" s="26"/>
    </row>
    <row r="107" spans="3:22">
      <c r="C107" s="25"/>
      <c r="D107" s="752"/>
      <c r="E107" s="752"/>
      <c r="F107" s="752"/>
      <c r="G107" s="752"/>
      <c r="H107" s="752"/>
      <c r="I107" s="752"/>
      <c r="P107" s="25"/>
      <c r="Q107" s="26"/>
      <c r="R107" s="26"/>
      <c r="S107" s="26"/>
      <c r="T107" s="26"/>
      <c r="U107" s="26"/>
      <c r="V107" s="26"/>
    </row>
    <row r="108" spans="3:22">
      <c r="C108" s="25" t="s">
        <v>874</v>
      </c>
      <c r="D108" s="752"/>
      <c r="E108" s="752"/>
      <c r="F108" s="752"/>
      <c r="G108" s="752"/>
      <c r="H108" s="752"/>
      <c r="I108" s="753"/>
      <c r="P108" s="25"/>
      <c r="Q108" s="26"/>
      <c r="R108" s="26"/>
      <c r="S108" s="26"/>
      <c r="T108" s="26"/>
      <c r="U108" s="26"/>
      <c r="V108" s="280"/>
    </row>
    <row r="109" spans="3:22">
      <c r="C109" s="25"/>
      <c r="D109" s="752"/>
      <c r="E109" s="752"/>
      <c r="F109" s="752"/>
      <c r="G109" s="752"/>
      <c r="H109" s="752"/>
      <c r="I109" s="753"/>
      <c r="P109" s="25"/>
      <c r="Q109" s="26"/>
      <c r="R109" s="26"/>
      <c r="S109" s="26"/>
      <c r="T109" s="26"/>
      <c r="U109" s="26"/>
      <c r="V109" s="280"/>
    </row>
    <row r="110" spans="3:22">
      <c r="C110" s="25" t="s">
        <v>1123</v>
      </c>
      <c r="D110" s="752"/>
      <c r="E110" s="752"/>
      <c r="F110" s="752"/>
      <c r="G110" s="752"/>
      <c r="H110" s="752"/>
      <c r="I110" s="753">
        <f>D148*0.3*-1*0.9</f>
        <v>1485000</v>
      </c>
      <c r="J110" s="351" t="s">
        <v>1148</v>
      </c>
      <c r="P110" s="25"/>
      <c r="Q110" s="26"/>
      <c r="R110" s="26"/>
      <c r="S110" s="26"/>
      <c r="T110" s="26"/>
      <c r="U110" s="26"/>
      <c r="V110" s="280"/>
    </row>
    <row r="111" spans="3:22">
      <c r="C111" s="1214" t="s">
        <v>1158</v>
      </c>
      <c r="D111" s="752"/>
      <c r="E111" s="752"/>
      <c r="F111" s="752"/>
      <c r="G111" s="752"/>
      <c r="H111" s="752"/>
      <c r="I111" s="753"/>
      <c r="J111" s="351"/>
      <c r="P111" s="25"/>
      <c r="Q111" s="26"/>
      <c r="R111" s="26"/>
      <c r="S111" s="26"/>
      <c r="T111" s="26"/>
      <c r="U111" s="26"/>
      <c r="V111" s="280"/>
    </row>
    <row r="112" spans="3:22">
      <c r="C112" s="269" t="s">
        <v>121</v>
      </c>
      <c r="D112" s="754"/>
      <c r="E112" s="754"/>
      <c r="F112" s="754"/>
      <c r="G112" s="754"/>
      <c r="H112" s="754"/>
      <c r="I112" s="754"/>
      <c r="P112" s="269"/>
      <c r="Q112" s="270"/>
      <c r="R112" s="270"/>
      <c r="S112" s="270"/>
      <c r="T112" s="270"/>
      <c r="U112" s="270"/>
      <c r="V112" s="270"/>
    </row>
    <row r="113" spans="2:22">
      <c r="C113" s="25" t="s">
        <v>122</v>
      </c>
      <c r="D113" s="752"/>
      <c r="E113" s="254"/>
      <c r="F113" s="254"/>
      <c r="G113" s="254"/>
      <c r="H113" s="752"/>
      <c r="I113" s="752"/>
      <c r="P113" s="25"/>
      <c r="Q113" s="26"/>
      <c r="R113" s="26"/>
      <c r="S113" s="26"/>
      <c r="T113" s="26"/>
      <c r="U113" s="26"/>
      <c r="V113" s="26"/>
    </row>
    <row r="114" spans="2:22">
      <c r="C114" s="47" t="s">
        <v>1132</v>
      </c>
      <c r="D114" s="752"/>
      <c r="E114" s="752"/>
      <c r="F114" s="752"/>
      <c r="G114" s="752"/>
      <c r="H114" s="752"/>
      <c r="I114" s="752"/>
      <c r="J114" s="351"/>
      <c r="P114" s="47"/>
      <c r="Q114" s="26"/>
      <c r="R114" s="26"/>
      <c r="S114" s="26"/>
      <c r="T114" s="26"/>
      <c r="U114" s="26"/>
      <c r="V114" s="26"/>
    </row>
    <row r="115" spans="2:22">
      <c r="C115" s="631" t="s">
        <v>809</v>
      </c>
      <c r="D115" s="752"/>
      <c r="E115" s="752">
        <f>-550000*12</f>
        <v>-6600000</v>
      </c>
      <c r="F115" s="752">
        <f>-550000*12</f>
        <v>-6600000</v>
      </c>
      <c r="G115" s="752">
        <f>-550000*12</f>
        <v>-6600000</v>
      </c>
      <c r="H115" s="752">
        <f>-550000*12</f>
        <v>-6600000</v>
      </c>
      <c r="I115" s="752">
        <f>-550000*12</f>
        <v>-6600000</v>
      </c>
      <c r="P115" s="47"/>
      <c r="Q115" s="26"/>
      <c r="R115" s="26"/>
      <c r="S115" s="26"/>
      <c r="T115" s="26"/>
      <c r="U115" s="26"/>
      <c r="V115" s="26"/>
    </row>
    <row r="116" spans="2:22">
      <c r="C116" s="1119" t="s">
        <v>1133</v>
      </c>
      <c r="D116" s="752"/>
      <c r="E116" s="752">
        <f>-(120000+150000+90000)*12</f>
        <v>-4320000</v>
      </c>
      <c r="F116" s="752">
        <f>-(120000+150000+90000)*12</f>
        <v>-4320000</v>
      </c>
      <c r="G116" s="752">
        <f>-(120000+150000+90000)*12</f>
        <v>-4320000</v>
      </c>
      <c r="H116" s="752">
        <f>-(120000+150000+90000)*12</f>
        <v>-4320000</v>
      </c>
      <c r="I116" s="752">
        <f>-(120000+150000+90000)*12</f>
        <v>-4320000</v>
      </c>
      <c r="P116" s="47"/>
      <c r="Q116" s="26"/>
      <c r="R116" s="26"/>
      <c r="S116" s="26"/>
      <c r="T116" s="26"/>
      <c r="U116" s="26"/>
      <c r="V116" s="26"/>
    </row>
    <row r="117" spans="2:22">
      <c r="C117" s="342" t="s">
        <v>1140</v>
      </c>
      <c r="D117" s="765"/>
      <c r="E117" s="752"/>
      <c r="F117" s="752"/>
      <c r="G117" s="752"/>
      <c r="H117" s="752"/>
      <c r="I117" s="752"/>
      <c r="P117" s="47"/>
      <c r="Q117" s="26"/>
      <c r="R117" s="26"/>
      <c r="S117" s="26"/>
      <c r="T117" s="26"/>
      <c r="U117" s="26"/>
      <c r="V117" s="26"/>
    </row>
    <row r="118" spans="2:22">
      <c r="C118" s="1120" t="s">
        <v>1141</v>
      </c>
      <c r="D118" s="765"/>
      <c r="E118" s="752">
        <f>-1*E101*$M$86</f>
        <v>-1195293500</v>
      </c>
      <c r="F118" s="752">
        <f>-1*F101*$M$86</f>
        <v>-1153248000</v>
      </c>
      <c r="G118" s="752">
        <f>-1*G101*$M$86</f>
        <v>-1288394250</v>
      </c>
      <c r="H118" s="752">
        <f>-1*H101*$M$86</f>
        <v>-1246348750</v>
      </c>
      <c r="I118" s="752">
        <f>-1*I101*$M$86</f>
        <v>-1255358500</v>
      </c>
      <c r="P118" s="47"/>
      <c r="Q118" s="26"/>
      <c r="R118" s="26"/>
      <c r="S118" s="26"/>
      <c r="T118" s="26"/>
      <c r="U118" s="26"/>
      <c r="V118" s="26"/>
    </row>
    <row r="119" spans="2:22">
      <c r="C119" s="102" t="s">
        <v>802</v>
      </c>
      <c r="D119" s="752"/>
      <c r="E119" s="752"/>
      <c r="F119" s="752"/>
      <c r="G119" s="752"/>
      <c r="H119" s="752"/>
      <c r="I119" s="752"/>
      <c r="P119" s="47"/>
      <c r="Q119" s="26"/>
      <c r="R119" s="26"/>
      <c r="S119" s="26"/>
      <c r="T119" s="26"/>
      <c r="U119" s="26"/>
      <c r="V119" s="26"/>
    </row>
    <row r="120" spans="2:22" ht="15.75" customHeight="1">
      <c r="C120" s="287" t="s">
        <v>803</v>
      </c>
      <c r="D120" s="752"/>
      <c r="E120" s="752"/>
      <c r="F120" s="752"/>
      <c r="G120" s="752"/>
      <c r="H120" s="752"/>
      <c r="I120" s="752"/>
      <c r="P120" s="287"/>
      <c r="Q120" s="26"/>
      <c r="R120" s="26"/>
      <c r="S120" s="26"/>
      <c r="T120" s="26"/>
      <c r="U120" s="26"/>
      <c r="V120" s="26"/>
    </row>
    <row r="121" spans="2:22" ht="15.75" customHeight="1">
      <c r="B121" s="351"/>
      <c r="C121" s="199" t="s">
        <v>1137</v>
      </c>
      <c r="D121" s="752"/>
      <c r="E121" s="752">
        <f>E118*0.12</f>
        <v>-143435220</v>
      </c>
      <c r="F121" s="752">
        <f>F118*0.12</f>
        <v>-138389760</v>
      </c>
      <c r="G121" s="752">
        <f>G118*0.12</f>
        <v>-154607310</v>
      </c>
      <c r="H121" s="752">
        <f>H118*0.12</f>
        <v>-149561850</v>
      </c>
      <c r="I121" s="752">
        <f>I118*0.12</f>
        <v>-150643020</v>
      </c>
      <c r="J121" s="351" t="s">
        <v>1146</v>
      </c>
      <c r="P121" s="199"/>
      <c r="Q121" s="26"/>
      <c r="R121" s="26"/>
      <c r="S121" s="26"/>
      <c r="T121" s="26"/>
      <c r="U121" s="26"/>
      <c r="V121" s="26"/>
    </row>
    <row r="122" spans="2:22" ht="15.75" customHeight="1">
      <c r="B122" s="351"/>
      <c r="C122" s="199" t="s">
        <v>1139</v>
      </c>
      <c r="D122" s="752"/>
      <c r="E122" s="752">
        <f>4*170000*-1*13*1.4</f>
        <v>-12376000</v>
      </c>
      <c r="F122" s="752">
        <f>4*170000*-1*13*1.4</f>
        <v>-12376000</v>
      </c>
      <c r="G122" s="752">
        <f>4*170000*-1*13*1.4</f>
        <v>-12376000</v>
      </c>
      <c r="H122" s="752">
        <f>4*170000*-1*13*1.4</f>
        <v>-12376000</v>
      </c>
      <c r="I122" s="752">
        <f>4*170000*-1*13*1.4</f>
        <v>-12376000</v>
      </c>
      <c r="J122" s="351" t="s">
        <v>1146</v>
      </c>
      <c r="P122" s="199"/>
      <c r="Q122" s="26"/>
      <c r="R122" s="26"/>
      <c r="S122" s="26"/>
      <c r="T122" s="26"/>
      <c r="U122" s="26"/>
      <c r="V122" s="26"/>
    </row>
    <row r="123" spans="2:22" ht="15.75" customHeight="1">
      <c r="B123" s="351"/>
      <c r="C123" s="199" t="s">
        <v>1138</v>
      </c>
      <c r="D123" s="752"/>
      <c r="E123" s="752">
        <f>1*330000*-1*13*1.4</f>
        <v>-6006000</v>
      </c>
      <c r="F123" s="752">
        <f>1*330000*-1*13*1.4</f>
        <v>-6006000</v>
      </c>
      <c r="G123" s="752">
        <f>1*330000*-1*13*1.4</f>
        <v>-6006000</v>
      </c>
      <c r="H123" s="752">
        <f>1*330000*-1*13*1.4</f>
        <v>-6006000</v>
      </c>
      <c r="I123" s="752">
        <f>1*330000*-1*13*1.4</f>
        <v>-6006000</v>
      </c>
      <c r="J123" s="351" t="s">
        <v>1146</v>
      </c>
      <c r="P123" s="199"/>
      <c r="Q123" s="26"/>
      <c r="R123" s="26"/>
      <c r="S123" s="26"/>
      <c r="T123" s="26"/>
      <c r="U123" s="26"/>
      <c r="V123" s="26"/>
    </row>
    <row r="124" spans="2:22" ht="15.75" customHeight="1">
      <c r="B124" s="351"/>
      <c r="C124" s="199" t="s">
        <v>1134</v>
      </c>
      <c r="D124" s="752"/>
      <c r="E124" s="752">
        <f>(E104+E105)*0.015*-1</f>
        <v>-23827016.25</v>
      </c>
      <c r="F124" s="752">
        <f>(F104+F105)*0.015*-1</f>
        <v>-31236480</v>
      </c>
      <c r="G124" s="752">
        <f>(G104+G105)*0.015*-1</f>
        <v>-34500448.125</v>
      </c>
      <c r="H124" s="752">
        <f>(H104+H105)*0.015*-1</f>
        <v>-34141790.625</v>
      </c>
      <c r="I124" s="752">
        <f>(I104+I105)*0.015*-1</f>
        <v>-34774987.5</v>
      </c>
      <c r="J124" s="351" t="s">
        <v>1146</v>
      </c>
      <c r="P124" s="199"/>
      <c r="Q124" s="26"/>
      <c r="R124" s="26"/>
      <c r="S124" s="26"/>
      <c r="T124" s="26"/>
      <c r="U124" s="26"/>
      <c r="V124" s="26"/>
    </row>
    <row r="125" spans="2:22" ht="15.75" customHeight="1">
      <c r="B125" s="351"/>
      <c r="C125" s="199" t="s">
        <v>868</v>
      </c>
      <c r="D125" s="752"/>
      <c r="E125" s="752"/>
      <c r="F125" s="752"/>
      <c r="G125" s="752"/>
      <c r="H125" s="752"/>
      <c r="I125" s="752"/>
      <c r="P125" s="199"/>
      <c r="Q125" s="26"/>
      <c r="R125" s="26"/>
      <c r="S125" s="26"/>
      <c r="T125" s="26"/>
      <c r="U125" s="26"/>
      <c r="V125" s="26"/>
    </row>
    <row r="126" spans="2:22" ht="15.75" customHeight="1">
      <c r="B126" s="351"/>
      <c r="C126" s="199" t="s">
        <v>478</v>
      </c>
      <c r="D126" s="752"/>
      <c r="E126" s="752"/>
      <c r="F126" s="752"/>
      <c r="G126" s="752"/>
      <c r="H126" s="752"/>
      <c r="I126" s="752"/>
      <c r="P126" s="199"/>
      <c r="Q126" s="26"/>
      <c r="R126" s="26"/>
      <c r="S126" s="26"/>
      <c r="T126" s="26"/>
      <c r="U126" s="26"/>
      <c r="V126" s="26"/>
    </row>
    <row r="127" spans="2:22" ht="15.75" customHeight="1">
      <c r="C127" s="199" t="s">
        <v>543</v>
      </c>
      <c r="D127" s="752"/>
      <c r="E127" s="752"/>
      <c r="F127" s="752"/>
      <c r="G127" s="752"/>
      <c r="H127" s="752"/>
      <c r="I127" s="752"/>
      <c r="P127" s="199"/>
      <c r="Q127" s="26"/>
      <c r="R127" s="26"/>
      <c r="S127" s="26"/>
      <c r="T127" s="26"/>
      <c r="U127" s="26"/>
      <c r="V127" s="26"/>
    </row>
    <row r="128" spans="2:22" ht="15.75" customHeight="1">
      <c r="C128" s="199" t="s">
        <v>766</v>
      </c>
      <c r="D128" s="752"/>
      <c r="E128" s="752"/>
      <c r="F128" s="752"/>
      <c r="G128" s="752"/>
      <c r="H128" s="752"/>
      <c r="I128" s="752"/>
      <c r="J128" s="351" t="s">
        <v>1147</v>
      </c>
      <c r="P128" s="199"/>
      <c r="Q128" s="26"/>
      <c r="R128" s="26"/>
      <c r="S128" s="26"/>
      <c r="T128" s="26"/>
      <c r="U128" s="26"/>
      <c r="V128" s="26"/>
    </row>
    <row r="129" spans="3:22">
      <c r="C129" s="267" t="s">
        <v>125</v>
      </c>
      <c r="D129" s="755"/>
      <c r="E129" s="755"/>
      <c r="F129" s="755"/>
      <c r="G129" s="755"/>
      <c r="H129" s="755"/>
      <c r="I129" s="755"/>
      <c r="P129" s="267"/>
      <c r="Q129" s="268"/>
      <c r="R129" s="268"/>
      <c r="S129" s="268"/>
      <c r="T129" s="268"/>
      <c r="U129" s="268"/>
      <c r="V129" s="268"/>
    </row>
    <row r="130" spans="3:22">
      <c r="C130" s="25" t="s">
        <v>761</v>
      </c>
      <c r="D130" s="752"/>
      <c r="E130" s="752"/>
      <c r="F130" s="752"/>
      <c r="G130" s="752"/>
      <c r="H130" s="752"/>
      <c r="I130" s="752"/>
      <c r="J130" s="1746"/>
      <c r="K130" s="1747"/>
      <c r="L130" s="1747"/>
      <c r="M130" s="1747"/>
      <c r="P130" s="25"/>
      <c r="Q130" s="26"/>
      <c r="R130" s="26"/>
      <c r="S130" s="26"/>
      <c r="T130" s="26"/>
      <c r="U130" s="26"/>
      <c r="V130" s="26"/>
    </row>
    <row r="131" spans="3:22">
      <c r="C131" s="25" t="s">
        <v>1149</v>
      </c>
      <c r="D131" s="752"/>
      <c r="E131" s="752">
        <f>($D$148/5)*0.9</f>
        <v>-990000</v>
      </c>
      <c r="F131" s="752">
        <f>($D$148/5)*0.9</f>
        <v>-990000</v>
      </c>
      <c r="G131" s="752">
        <f>($D$148/5)*0.9</f>
        <v>-990000</v>
      </c>
      <c r="H131" s="752">
        <f>($D$148/5)*0.9</f>
        <v>-990000</v>
      </c>
      <c r="I131" s="752">
        <f>($D$148/5)*0.9</f>
        <v>-990000</v>
      </c>
      <c r="P131" s="25"/>
      <c r="Q131" s="26"/>
      <c r="R131" s="26"/>
      <c r="S131" s="26"/>
      <c r="T131" s="26"/>
      <c r="U131" s="26"/>
      <c r="V131" s="26"/>
    </row>
    <row r="132" spans="3:22">
      <c r="C132" s="25" t="s">
        <v>1150</v>
      </c>
      <c r="D132" s="752"/>
      <c r="E132" s="752">
        <f>($D$148/5)*0.1</f>
        <v>-110000</v>
      </c>
      <c r="F132" s="752">
        <f>($D$148/5)*0.1</f>
        <v>-110000</v>
      </c>
      <c r="G132" s="752"/>
      <c r="H132" s="752"/>
      <c r="I132" s="752"/>
      <c r="P132" s="25"/>
      <c r="Q132" s="26"/>
      <c r="R132" s="26"/>
      <c r="S132" s="26"/>
      <c r="T132" s="26"/>
      <c r="U132" s="26"/>
      <c r="V132" s="26"/>
    </row>
    <row r="133" spans="3:22">
      <c r="C133" s="25" t="s">
        <v>1151</v>
      </c>
      <c r="D133" s="752"/>
      <c r="E133" s="752"/>
      <c r="F133" s="752"/>
      <c r="G133" s="752">
        <f>F148/5</f>
        <v>-20000</v>
      </c>
      <c r="H133" s="752">
        <f>F148/5</f>
        <v>-20000</v>
      </c>
      <c r="I133" s="752">
        <f>F148/5</f>
        <v>-20000</v>
      </c>
      <c r="P133" s="25"/>
      <c r="Q133" s="26"/>
      <c r="R133" s="26"/>
      <c r="S133" s="26"/>
      <c r="T133" s="26"/>
      <c r="U133" s="26"/>
      <c r="V133" s="26"/>
    </row>
    <row r="134" spans="3:22">
      <c r="C134" s="25" t="s">
        <v>787</v>
      </c>
      <c r="D134" s="752"/>
      <c r="E134" s="752"/>
      <c r="F134" s="752"/>
      <c r="G134" s="752"/>
      <c r="H134" s="752"/>
      <c r="I134" s="756"/>
      <c r="P134" s="25"/>
      <c r="Q134" s="26"/>
      <c r="R134" s="26"/>
      <c r="S134" s="26"/>
      <c r="T134" s="26"/>
      <c r="U134" s="26"/>
      <c r="V134" s="26"/>
    </row>
    <row r="135" spans="3:22">
      <c r="C135" s="25" t="s">
        <v>1153</v>
      </c>
      <c r="D135" s="752"/>
      <c r="E135" s="752"/>
      <c r="F135" s="752">
        <f>F132*3</f>
        <v>-330000</v>
      </c>
      <c r="G135" s="752"/>
      <c r="H135" s="752"/>
      <c r="I135" s="756"/>
      <c r="P135" s="25"/>
      <c r="Q135" s="26"/>
      <c r="R135" s="26"/>
      <c r="S135" s="26"/>
      <c r="T135" s="26"/>
      <c r="U135" s="26"/>
      <c r="V135" s="26"/>
    </row>
    <row r="136" spans="3:22">
      <c r="C136" s="25" t="s">
        <v>872</v>
      </c>
      <c r="D136" s="752"/>
      <c r="E136" s="752"/>
      <c r="F136" s="752"/>
      <c r="G136" s="752"/>
      <c r="H136" s="757"/>
      <c r="I136" s="758"/>
      <c r="P136" s="25"/>
      <c r="Q136" s="26"/>
      <c r="R136" s="26"/>
      <c r="S136" s="26"/>
      <c r="T136" s="26"/>
      <c r="U136" s="26"/>
      <c r="V136" s="26"/>
    </row>
    <row r="137" spans="3:22">
      <c r="C137" s="25" t="s">
        <v>873</v>
      </c>
      <c r="D137" s="752"/>
      <c r="E137" s="752"/>
      <c r="F137" s="752"/>
      <c r="G137" s="752"/>
      <c r="H137" s="752"/>
      <c r="I137" s="759"/>
      <c r="P137" s="25"/>
      <c r="Q137" s="26"/>
      <c r="R137" s="26"/>
      <c r="S137" s="26"/>
      <c r="T137" s="26"/>
      <c r="U137" s="26"/>
      <c r="V137" s="26"/>
    </row>
    <row r="138" spans="3:22">
      <c r="C138" s="25" t="s">
        <v>1152</v>
      </c>
      <c r="D138" s="752"/>
      <c r="E138" s="752"/>
      <c r="F138" s="752"/>
      <c r="G138" s="752"/>
      <c r="H138" s="752"/>
      <c r="I138" s="759">
        <f>F148-G133-H133-I133</f>
        <v>-40000</v>
      </c>
      <c r="P138" s="25"/>
      <c r="Q138" s="26"/>
      <c r="R138" s="26"/>
      <c r="S138" s="26"/>
      <c r="T138" s="26"/>
      <c r="U138" s="26"/>
      <c r="V138" s="26"/>
    </row>
    <row r="139" spans="3:22">
      <c r="C139" s="25" t="s">
        <v>786</v>
      </c>
      <c r="D139" s="752"/>
      <c r="E139" s="752"/>
      <c r="F139" s="752"/>
      <c r="G139" s="752"/>
      <c r="H139" s="752"/>
      <c r="I139" s="759"/>
      <c r="P139" s="25"/>
      <c r="Q139" s="26"/>
      <c r="R139" s="26"/>
      <c r="S139" s="26"/>
      <c r="T139" s="26"/>
      <c r="U139" s="26"/>
      <c r="V139" s="26"/>
    </row>
    <row r="140" spans="3:22" ht="14.25">
      <c r="C140" s="31" t="s">
        <v>130</v>
      </c>
      <c r="D140" s="760"/>
      <c r="E140" s="760">
        <f>SUM(E104:E139)</f>
        <v>195510013.75</v>
      </c>
      <c r="F140" s="760">
        <f>SUM(F104:F139)</f>
        <v>728825760</v>
      </c>
      <c r="G140" s="760">
        <f>SUM(G104:G139)</f>
        <v>792215866.875</v>
      </c>
      <c r="H140" s="760">
        <f>SUM(H104:H139)</f>
        <v>815754984.375</v>
      </c>
      <c r="I140" s="760">
        <f>SUM(I104:I139)</f>
        <v>848688992.5</v>
      </c>
      <c r="K140" s="259"/>
      <c r="L140" s="259"/>
      <c r="M140" s="259"/>
      <c r="P140" s="31"/>
      <c r="Q140" s="32"/>
      <c r="R140" s="32"/>
      <c r="S140" s="32"/>
      <c r="T140" s="32"/>
      <c r="U140" s="32"/>
      <c r="V140" s="32"/>
    </row>
    <row r="141" spans="3:22">
      <c r="C141" s="33" t="s">
        <v>349</v>
      </c>
      <c r="D141" s="752"/>
      <c r="E141" s="752">
        <f>E140*0.35</f>
        <v>68428504.8125</v>
      </c>
      <c r="F141" s="752">
        <f>F140*0.35</f>
        <v>255089015.99999997</v>
      </c>
      <c r="G141" s="752">
        <f>G140*0.35</f>
        <v>277275553.40625</v>
      </c>
      <c r="H141" s="752">
        <f>H140*0.35</f>
        <v>285514244.53125</v>
      </c>
      <c r="I141" s="752">
        <f>I140*0.35</f>
        <v>297041147.375</v>
      </c>
      <c r="K141" s="276"/>
      <c r="L141" s="259"/>
      <c r="M141" s="259"/>
      <c r="P141" s="33"/>
      <c r="Q141" s="26"/>
      <c r="R141" s="26"/>
      <c r="S141" s="26"/>
      <c r="T141" s="26"/>
      <c r="U141" s="26"/>
      <c r="V141" s="26"/>
    </row>
    <row r="142" spans="3:22" ht="28.5">
      <c r="C142" s="34" t="s">
        <v>132</v>
      </c>
      <c r="D142" s="761"/>
      <c r="E142" s="761">
        <f>E140-E141</f>
        <v>127081508.9375</v>
      </c>
      <c r="F142" s="761">
        <f>F140-F141</f>
        <v>473736744</v>
      </c>
      <c r="G142" s="761">
        <f>G140-G141</f>
        <v>514940313.46875</v>
      </c>
      <c r="H142" s="761">
        <f>H140-H141</f>
        <v>530240739.84375</v>
      </c>
      <c r="I142" s="761">
        <f>I140-I141</f>
        <v>551647845.125</v>
      </c>
      <c r="P142" s="34"/>
      <c r="Q142" s="35"/>
      <c r="R142" s="35"/>
      <c r="S142" s="35"/>
      <c r="T142" s="35"/>
      <c r="U142" s="35"/>
      <c r="V142" s="35"/>
    </row>
    <row r="143" spans="3:22">
      <c r="C143" s="33" t="s">
        <v>133</v>
      </c>
      <c r="D143" s="756"/>
      <c r="E143" s="756">
        <f>SUM(E130:E139)*-1</f>
        <v>1100000</v>
      </c>
      <c r="F143" s="756">
        <f>SUM(F130:F139)*-1</f>
        <v>1430000</v>
      </c>
      <c r="G143" s="756">
        <f>SUM(G130:G139)*-1</f>
        <v>1010000</v>
      </c>
      <c r="H143" s="756">
        <f>SUM(H130:H139)*-1</f>
        <v>1010000</v>
      </c>
      <c r="I143" s="756">
        <f>SUM(I130:I139)*-1</f>
        <v>1050000</v>
      </c>
      <c r="P143" s="33"/>
      <c r="Q143" s="26"/>
      <c r="R143" s="26"/>
      <c r="S143" s="26"/>
      <c r="T143" s="26"/>
      <c r="U143" s="26"/>
      <c r="V143" s="26"/>
    </row>
    <row r="144" spans="3:22" ht="25.5">
      <c r="C144" s="751" t="s">
        <v>712</v>
      </c>
      <c r="D144" s="254">
        <v>-61566810.406249985</v>
      </c>
      <c r="E144" s="816"/>
      <c r="F144" s="816">
        <v>-6961071.5283448473</v>
      </c>
      <c r="G144" s="816"/>
      <c r="H144" s="816">
        <v>-464071.43522298988</v>
      </c>
      <c r="I144" s="764"/>
      <c r="P144" s="284"/>
      <c r="Q144" s="26"/>
      <c r="R144" s="26"/>
      <c r="S144" s="26"/>
      <c r="T144" s="26"/>
      <c r="U144" s="26"/>
    </row>
    <row r="145" spans="3:23">
      <c r="C145" s="25" t="s">
        <v>134</v>
      </c>
      <c r="D145" s="759"/>
      <c r="E145" s="254"/>
      <c r="F145" s="254"/>
      <c r="G145" s="254"/>
      <c r="H145" s="759"/>
      <c r="I145" s="759"/>
      <c r="P145" s="25"/>
      <c r="R145" s="26"/>
      <c r="S145" s="26"/>
      <c r="T145" s="26"/>
      <c r="U145" s="26"/>
      <c r="V145" s="26"/>
    </row>
    <row r="146" spans="3:23">
      <c r="C146" s="25" t="s">
        <v>135</v>
      </c>
      <c r="D146" s="752"/>
      <c r="F146" s="752"/>
      <c r="G146" s="752"/>
      <c r="H146" s="752"/>
      <c r="I146" s="752"/>
      <c r="P146" s="286"/>
      <c r="R146" s="26"/>
      <c r="S146" s="26"/>
      <c r="T146" s="26"/>
      <c r="U146" s="26"/>
      <c r="V146" s="26"/>
    </row>
    <row r="147" spans="3:23">
      <c r="C147" s="25"/>
      <c r="D147" s="752"/>
      <c r="F147" s="752"/>
      <c r="G147" s="752"/>
      <c r="H147" s="756"/>
      <c r="I147" s="752"/>
      <c r="P147" s="286"/>
      <c r="Q147" s="26"/>
      <c r="V147" s="26"/>
    </row>
    <row r="148" spans="3:23">
      <c r="C148" s="25" t="s">
        <v>1122</v>
      </c>
      <c r="D148" s="752">
        <f>5000000*1.1*-1</f>
        <v>-5500000</v>
      </c>
      <c r="E148" s="752"/>
      <c r="F148" s="752">
        <v>-100000</v>
      </c>
      <c r="G148" s="757"/>
      <c r="H148" s="758"/>
      <c r="I148" s="765"/>
      <c r="P148" s="286"/>
      <c r="Q148" s="26"/>
      <c r="R148" s="26"/>
      <c r="S148" s="26"/>
      <c r="T148" s="26"/>
      <c r="U148" s="26"/>
      <c r="V148" s="26"/>
    </row>
    <row r="149" spans="3:23">
      <c r="C149" s="25" t="s">
        <v>863</v>
      </c>
      <c r="D149" s="752"/>
      <c r="E149" s="752"/>
      <c r="F149" s="752"/>
      <c r="G149" s="757"/>
      <c r="H149" s="758"/>
      <c r="I149" s="765"/>
      <c r="P149" s="286"/>
      <c r="Q149" s="26"/>
      <c r="R149" s="26"/>
      <c r="S149" s="26"/>
      <c r="T149" s="26"/>
      <c r="U149" s="26"/>
      <c r="V149" s="26"/>
    </row>
    <row r="150" spans="3:23">
      <c r="C150" s="25" t="s">
        <v>785</v>
      </c>
      <c r="D150" s="752"/>
      <c r="E150" s="752"/>
      <c r="F150" s="752"/>
      <c r="G150" s="757"/>
      <c r="H150" s="758"/>
      <c r="I150" s="765"/>
      <c r="J150" s="669" t="s">
        <v>1187</v>
      </c>
      <c r="P150" s="286"/>
      <c r="Q150" s="26"/>
      <c r="R150" s="26"/>
      <c r="S150" s="26"/>
      <c r="T150" s="26"/>
      <c r="U150" s="26"/>
      <c r="V150" s="26"/>
    </row>
    <row r="151" spans="3:23">
      <c r="C151" s="286" t="s">
        <v>412</v>
      </c>
      <c r="D151" s="752"/>
      <c r="E151" s="752"/>
      <c r="F151" s="752"/>
      <c r="G151" s="752"/>
      <c r="H151" s="759"/>
      <c r="I151" s="752">
        <f>(D144+F144+H144)*-1</f>
        <v>68991953.369817823</v>
      </c>
      <c r="J151" s="663" t="s">
        <v>29</v>
      </c>
      <c r="P151" s="286"/>
      <c r="Q151" s="26"/>
      <c r="R151" s="26"/>
      <c r="S151" s="26"/>
      <c r="T151" s="26"/>
      <c r="U151" s="26"/>
      <c r="V151" s="26"/>
    </row>
    <row r="152" spans="3:23" ht="14.25">
      <c r="C152" s="37" t="s">
        <v>139</v>
      </c>
      <c r="D152" s="761">
        <f>SUM(D141:D151)</f>
        <v>-67066810.406249985</v>
      </c>
      <c r="E152" s="761">
        <f>SUM(E142:E151)</f>
        <v>128181508.9375</v>
      </c>
      <c r="F152" s="761">
        <f>SUM(F142:F151)</f>
        <v>468105672.47165513</v>
      </c>
      <c r="G152" s="761">
        <f>SUM(G142:G151)</f>
        <v>515950313.46875</v>
      </c>
      <c r="H152" s="761">
        <f>SUM(H142:H151)</f>
        <v>530786668.40852702</v>
      </c>
      <c r="I152" s="761">
        <f>SUM(I142:I151)</f>
        <v>621689798.49481785</v>
      </c>
      <c r="J152" s="1055">
        <f>NPV(C174,E152:I152)+D152</f>
        <v>1412606699.1973002</v>
      </c>
      <c r="P152" s="37"/>
      <c r="Q152" s="35"/>
      <c r="R152" s="35"/>
      <c r="S152" s="35"/>
      <c r="T152" s="35"/>
      <c r="U152" s="35"/>
      <c r="V152" s="35"/>
      <c r="W152" s="297"/>
    </row>
    <row r="153" spans="3:23">
      <c r="C153" s="3"/>
      <c r="E153" s="5"/>
      <c r="F153" s="5"/>
      <c r="G153" s="5"/>
      <c r="H153" s="5"/>
      <c r="I153" s="5"/>
    </row>
    <row r="154" spans="3:23">
      <c r="D154" s="1051"/>
    </row>
    <row r="155" spans="3:23">
      <c r="E155" s="297"/>
      <c r="K155" s="274"/>
    </row>
    <row r="156" spans="3:23">
      <c r="C156" s="593"/>
      <c r="D156" s="380"/>
      <c r="E156" s="380"/>
      <c r="F156" s="380"/>
      <c r="H156" s="380"/>
      <c r="I156" s="380"/>
    </row>
    <row r="157" spans="3:23" ht="12.75" customHeight="1">
      <c r="N157" s="299"/>
      <c r="O157" s="299"/>
      <c r="P157" s="299"/>
      <c r="Q157" s="299"/>
    </row>
    <row r="158" spans="3:23">
      <c r="N158" s="299"/>
      <c r="O158" s="299"/>
      <c r="P158" s="299"/>
      <c r="Q158" s="299"/>
    </row>
    <row r="159" spans="3:23">
      <c r="N159" s="299"/>
      <c r="O159" s="299"/>
      <c r="P159" s="299"/>
      <c r="Q159" s="299"/>
    </row>
    <row r="160" spans="3:23">
      <c r="N160" s="299"/>
      <c r="O160" s="299"/>
      <c r="P160" s="299"/>
      <c r="Q160" s="299"/>
    </row>
    <row r="161" spans="2:17">
      <c r="K161" s="299"/>
      <c r="L161" s="299"/>
      <c r="M161" s="299"/>
      <c r="N161" s="299"/>
    </row>
    <row r="162" spans="2:17">
      <c r="K162" s="299"/>
      <c r="L162" s="299"/>
      <c r="M162" s="299"/>
      <c r="N162" s="299"/>
    </row>
    <row r="163" spans="2:17">
      <c r="K163" s="299"/>
      <c r="L163" s="299"/>
      <c r="M163" s="299"/>
      <c r="N163" s="299"/>
    </row>
    <row r="164" spans="2:17">
      <c r="G164" s="25"/>
      <c r="H164" s="25" t="s">
        <v>483</v>
      </c>
      <c r="I164" s="25" t="s">
        <v>484</v>
      </c>
      <c r="K164" s="299"/>
      <c r="L164" s="299"/>
      <c r="M164" s="299"/>
      <c r="N164" s="299"/>
    </row>
    <row r="165" spans="2:17">
      <c r="G165" s="25" t="s">
        <v>485</v>
      </c>
      <c r="H165" s="343"/>
      <c r="I165" s="134"/>
      <c r="K165" s="299"/>
      <c r="L165" s="299"/>
      <c r="M165" s="299"/>
      <c r="N165" s="299"/>
    </row>
    <row r="166" spans="2:17">
      <c r="G166" s="25" t="s">
        <v>486</v>
      </c>
      <c r="H166" s="343"/>
      <c r="I166" s="134"/>
      <c r="N166" s="299"/>
      <c r="O166" s="299"/>
      <c r="P166" s="299"/>
      <c r="Q166" s="299"/>
    </row>
    <row r="167" spans="2:17">
      <c r="G167" s="25" t="s">
        <v>487</v>
      </c>
      <c r="H167" s="343"/>
      <c r="I167" s="134"/>
      <c r="N167" s="299"/>
      <c r="O167" s="299"/>
      <c r="P167" s="299"/>
      <c r="Q167" s="299"/>
    </row>
    <row r="168" spans="2:17">
      <c r="G168" s="271" t="s">
        <v>150</v>
      </c>
      <c r="H168" s="344"/>
      <c r="I168" s="25"/>
      <c r="J168" t="e">
        <f>H165*I165/(H165+H166)</f>
        <v>#DIV/0!</v>
      </c>
      <c r="N168" s="299"/>
      <c r="O168" s="299"/>
      <c r="P168" s="299"/>
      <c r="Q168" s="299"/>
    </row>
    <row r="169" spans="2:17">
      <c r="N169" s="299"/>
      <c r="O169" s="299"/>
      <c r="P169" s="299"/>
      <c r="Q169" s="299"/>
    </row>
    <row r="170" spans="2:17" ht="15">
      <c r="G170" s="345" t="s">
        <v>488</v>
      </c>
      <c r="H170" s="346"/>
      <c r="I170" t="s">
        <v>498</v>
      </c>
      <c r="N170" s="299"/>
      <c r="O170" s="299"/>
      <c r="P170" s="299"/>
      <c r="Q170" s="299"/>
    </row>
    <row r="171" spans="2:17" ht="15">
      <c r="G171" s="345" t="s">
        <v>489</v>
      </c>
      <c r="H171" s="346">
        <v>0.75</v>
      </c>
      <c r="I171" s="347" t="s">
        <v>490</v>
      </c>
    </row>
    <row r="172" spans="2:17" ht="15">
      <c r="G172" s="345" t="s">
        <v>491</v>
      </c>
      <c r="H172" s="346">
        <v>0.25</v>
      </c>
      <c r="I172" s="347" t="s">
        <v>492</v>
      </c>
    </row>
    <row r="173" spans="2:17" ht="15.75" thickBot="1">
      <c r="G173" s="345" t="s">
        <v>493</v>
      </c>
      <c r="H173" s="346"/>
      <c r="I173" t="s">
        <v>494</v>
      </c>
      <c r="M173" t="s">
        <v>448</v>
      </c>
      <c r="N173" s="304">
        <v>150000</v>
      </c>
      <c r="O173" s="352"/>
    </row>
    <row r="174" spans="2:17" ht="15">
      <c r="B174" s="40" t="s">
        <v>140</v>
      </c>
      <c r="C174" s="285">
        <f>C182*C176+C183*(1-C180)*C181</f>
        <v>0.13486200000000001</v>
      </c>
      <c r="G174" s="345" t="s">
        <v>495</v>
      </c>
      <c r="H174" s="346"/>
      <c r="I174" t="s">
        <v>496</v>
      </c>
      <c r="M174" t="s">
        <v>448</v>
      </c>
      <c r="N174" s="305">
        <v>160000</v>
      </c>
      <c r="O174" s="353"/>
    </row>
    <row r="175" spans="2:17" ht="15.75" thickBot="1">
      <c r="B175" s="42" t="s">
        <v>141</v>
      </c>
      <c r="C175" s="43" t="s">
        <v>142</v>
      </c>
      <c r="M175" t="s">
        <v>449</v>
      </c>
    </row>
    <row r="176" spans="2:17" ht="15.75" thickBot="1">
      <c r="B176" s="44" t="s">
        <v>143</v>
      </c>
      <c r="C176" s="573">
        <f>C177+C178*(C179-C177)</f>
        <v>0.13</v>
      </c>
      <c r="G176" s="348" t="s">
        <v>497</v>
      </c>
      <c r="H176" s="349">
        <f>H170*H171+H173*H172*(1-H174)</f>
        <v>0</v>
      </c>
    </row>
    <row r="177" spans="2:15" ht="15">
      <c r="B177" s="44" t="s">
        <v>144</v>
      </c>
      <c r="C177" s="821">
        <v>0.04</v>
      </c>
      <c r="D177" s="785" t="s">
        <v>889</v>
      </c>
    </row>
    <row r="178" spans="2:15" ht="18.75" thickBot="1">
      <c r="B178" s="47" t="s">
        <v>7</v>
      </c>
      <c r="C178" s="1035">
        <v>1.5</v>
      </c>
      <c r="D178" s="786" t="s">
        <v>886</v>
      </c>
      <c r="I178" s="350" t="s">
        <v>502</v>
      </c>
    </row>
    <row r="179" spans="2:15" ht="18">
      <c r="B179" s="47" t="s">
        <v>146</v>
      </c>
      <c r="C179" s="1036">
        <v>0.1</v>
      </c>
      <c r="D179" s="4" t="s">
        <v>890</v>
      </c>
      <c r="I179" s="350" t="s">
        <v>883</v>
      </c>
    </row>
    <row r="180" spans="2:15" ht="18">
      <c r="B180" s="47" t="s">
        <v>148</v>
      </c>
      <c r="C180" s="1036">
        <v>0.35</v>
      </c>
      <c r="D180" s="4" t="s">
        <v>1161</v>
      </c>
      <c r="I180" s="350" t="s">
        <v>884</v>
      </c>
    </row>
    <row r="181" spans="2:15" ht="18">
      <c r="B181" s="47" t="s">
        <v>150</v>
      </c>
      <c r="C181" s="1036">
        <f>P200</f>
        <v>0.21870000000000001</v>
      </c>
      <c r="D181" s="4"/>
      <c r="I181" s="350" t="s">
        <v>885</v>
      </c>
    </row>
    <row r="182" spans="2:15">
      <c r="B182" s="47" t="s">
        <v>152</v>
      </c>
      <c r="C182" s="1036">
        <v>0.6</v>
      </c>
      <c r="D182" s="4"/>
      <c r="E182" s="4"/>
      <c r="F182" s="4"/>
    </row>
    <row r="183" spans="2:15" ht="13.5" thickBot="1">
      <c r="B183" s="50" t="s">
        <v>154</v>
      </c>
      <c r="C183" s="1039">
        <v>0.4</v>
      </c>
      <c r="D183" s="4"/>
      <c r="E183" s="4"/>
      <c r="F183" s="4"/>
    </row>
    <row r="185" spans="2:15" ht="15.75">
      <c r="B185" s="570" t="s">
        <v>143</v>
      </c>
      <c r="C185" s="571">
        <f>C187+C186*(C188-C187)</f>
        <v>0.41000000000000003</v>
      </c>
      <c r="D185" t="s">
        <v>744</v>
      </c>
      <c r="L185" s="579"/>
    </row>
    <row r="186" spans="2:15" ht="14.25">
      <c r="B186" s="570" t="s">
        <v>745</v>
      </c>
      <c r="C186" s="491">
        <v>1.8</v>
      </c>
      <c r="D186" t="s">
        <v>746</v>
      </c>
      <c r="K186" s="254"/>
      <c r="L186" s="208"/>
    </row>
    <row r="187" spans="2:15" ht="14.25">
      <c r="B187" s="570" t="s">
        <v>144</v>
      </c>
      <c r="C187" s="572">
        <v>0.05</v>
      </c>
      <c r="D187" t="s">
        <v>747</v>
      </c>
      <c r="K187" s="254"/>
      <c r="L187" s="208"/>
      <c r="N187" s="580">
        <f>L200</f>
        <v>520000</v>
      </c>
      <c r="O187" s="208">
        <v>1</v>
      </c>
    </row>
    <row r="188" spans="2:15" ht="14.25">
      <c r="B188" s="570" t="s">
        <v>146</v>
      </c>
      <c r="C188" s="572">
        <v>0.25</v>
      </c>
      <c r="K188" s="254"/>
      <c r="L188" s="1215"/>
      <c r="N188" s="580">
        <f>L197</f>
        <v>100000</v>
      </c>
      <c r="O188" s="581">
        <f>(N188*O187)/N187</f>
        <v>0.19230769230769232</v>
      </c>
    </row>
    <row r="190" spans="2:15">
      <c r="N190" s="580">
        <f>L200</f>
        <v>520000</v>
      </c>
      <c r="O190" s="208">
        <v>1</v>
      </c>
    </row>
    <row r="191" spans="2:15" ht="14.25">
      <c r="B191" s="570"/>
      <c r="C191" s="574"/>
      <c r="D191" s="574"/>
      <c r="E191" s="574"/>
      <c r="F191" s="574"/>
      <c r="G191" s="574"/>
      <c r="H191" s="574"/>
      <c r="N191" s="582">
        <f>L198</f>
        <v>120000</v>
      </c>
      <c r="O191" s="583">
        <f>(N191*O190)/N190</f>
        <v>0.23076923076923078</v>
      </c>
    </row>
    <row r="192" spans="2:15">
      <c r="C192" s="303"/>
      <c r="D192" s="303"/>
      <c r="E192" s="303"/>
      <c r="F192" s="303"/>
      <c r="G192" s="303"/>
      <c r="H192" s="303"/>
    </row>
    <row r="193" spans="2:16">
      <c r="C193" s="303"/>
      <c r="D193" s="303"/>
      <c r="E193" s="303"/>
      <c r="F193" s="303"/>
      <c r="G193" s="303"/>
      <c r="H193" s="303"/>
      <c r="L193" t="s">
        <v>751</v>
      </c>
      <c r="N193" s="580">
        <f>L200</f>
        <v>520000</v>
      </c>
      <c r="O193" s="208">
        <v>1</v>
      </c>
    </row>
    <row r="194" spans="2:16" ht="14.25">
      <c r="C194" s="575"/>
      <c r="D194" s="576"/>
      <c r="E194" s="574"/>
      <c r="F194" s="584"/>
      <c r="G194" s="576"/>
      <c r="H194" s="576"/>
      <c r="N194" s="582">
        <f>L199</f>
        <v>300000</v>
      </c>
      <c r="O194" s="585">
        <f>(N194*O193)/N193</f>
        <v>0.57692307692307687</v>
      </c>
    </row>
    <row r="196" spans="2:16" ht="14.25">
      <c r="L196" s="570" t="s">
        <v>752</v>
      </c>
      <c r="N196" s="576" t="s">
        <v>1103</v>
      </c>
    </row>
    <row r="197" spans="2:16" ht="14.25">
      <c r="B197" s="570"/>
      <c r="C197" s="578"/>
      <c r="L197" s="582">
        <v>100000</v>
      </c>
      <c r="N197" s="468">
        <v>0.5</v>
      </c>
      <c r="O197" s="586">
        <v>0.25</v>
      </c>
      <c r="P197" s="578">
        <f>N197*O197</f>
        <v>0.125</v>
      </c>
    </row>
    <row r="198" spans="2:16" ht="15" thickBot="1">
      <c r="L198" s="582">
        <v>120000</v>
      </c>
      <c r="N198" s="468">
        <v>0.35</v>
      </c>
      <c r="O198" s="1217">
        <v>0.11</v>
      </c>
      <c r="P198" s="578">
        <f>N198*O198</f>
        <v>3.85E-2</v>
      </c>
    </row>
    <row r="199" spans="2:16" ht="15" thickBot="1">
      <c r="C199" s="1782" t="s">
        <v>888</v>
      </c>
      <c r="D199" s="1783"/>
      <c r="E199" s="1783"/>
      <c r="F199" s="1783"/>
      <c r="G199" s="1783"/>
      <c r="H199" s="1783"/>
      <c r="I199" s="1784"/>
      <c r="L199" s="588">
        <v>300000</v>
      </c>
      <c r="N199" s="468">
        <v>0.48</v>
      </c>
      <c r="O199" s="1216">
        <v>0.115</v>
      </c>
      <c r="P199" s="578">
        <f>N199*O199</f>
        <v>5.5199999999999999E-2</v>
      </c>
    </row>
    <row r="200" spans="2:16" ht="15">
      <c r="C200" s="772" t="s">
        <v>143</v>
      </c>
      <c r="D200" s="773">
        <f>D202+D201*(D203-D202)</f>
        <v>0.41000000000000003</v>
      </c>
      <c r="E200" s="774" t="s">
        <v>744</v>
      </c>
      <c r="F200" s="774"/>
      <c r="G200" s="774"/>
      <c r="H200" s="774"/>
      <c r="I200" s="775"/>
      <c r="L200" s="582">
        <f>SUM(L197:L199)</f>
        <v>520000</v>
      </c>
      <c r="N200" s="491"/>
      <c r="P200" s="591">
        <f>SUM(P197:P199)</f>
        <v>0.21870000000000001</v>
      </c>
    </row>
    <row r="201" spans="2:16" ht="14.25">
      <c r="C201" s="776" t="s">
        <v>745</v>
      </c>
      <c r="D201" s="777">
        <v>1.8</v>
      </c>
      <c r="E201" s="257" t="s">
        <v>746</v>
      </c>
      <c r="F201" s="257"/>
      <c r="G201" s="257"/>
      <c r="H201" s="257"/>
      <c r="I201" s="778"/>
      <c r="N201" s="491"/>
    </row>
    <row r="202" spans="2:16" ht="14.25">
      <c r="C202" s="776" t="s">
        <v>144</v>
      </c>
      <c r="D202" s="779">
        <v>0.05</v>
      </c>
      <c r="E202" s="257" t="s">
        <v>747</v>
      </c>
      <c r="F202" s="257"/>
      <c r="G202" s="257"/>
      <c r="H202" s="257"/>
      <c r="I202" s="778"/>
    </row>
    <row r="203" spans="2:16" ht="14.25">
      <c r="C203" s="776" t="s">
        <v>146</v>
      </c>
      <c r="D203" s="779">
        <v>0.25</v>
      </c>
      <c r="E203" s="257"/>
      <c r="F203" s="257"/>
      <c r="G203" s="257"/>
      <c r="H203" s="257"/>
      <c r="I203" s="778"/>
      <c r="L203" s="548"/>
      <c r="M203" s="548"/>
      <c r="N203" s="548"/>
    </row>
    <row r="204" spans="2:16" ht="13.5" thickBot="1">
      <c r="C204" s="780"/>
      <c r="D204" s="781"/>
      <c r="E204" s="781"/>
      <c r="F204" s="781"/>
      <c r="G204" s="781"/>
      <c r="H204" s="781"/>
      <c r="I204" s="782"/>
      <c r="M204" s="787"/>
      <c r="N204" s="788"/>
    </row>
    <row r="205" spans="2:16">
      <c r="M205" s="787"/>
    </row>
    <row r="206" spans="2:16" ht="14.25">
      <c r="M206" s="789"/>
    </row>
  </sheetData>
  <mergeCells count="20">
    <mergeCell ref="I95:L95"/>
    <mergeCell ref="D98:G98"/>
    <mergeCell ref="J130:M130"/>
    <mergeCell ref="C199:I199"/>
    <mergeCell ref="D61:D67"/>
    <mergeCell ref="V66:Y66"/>
    <mergeCell ref="M75:Q75"/>
    <mergeCell ref="M83:Q83"/>
    <mergeCell ref="B84:K84"/>
    <mergeCell ref="N85:O91"/>
    <mergeCell ref="K86:K90"/>
    <mergeCell ref="L86:L89"/>
    <mergeCell ref="M86:M90"/>
    <mergeCell ref="E91:F91"/>
    <mergeCell ref="M45:O45"/>
    <mergeCell ref="A2:B12"/>
    <mergeCell ref="M30:N30"/>
    <mergeCell ref="O35:S35"/>
    <mergeCell ref="M41:O41"/>
    <mergeCell ref="M42:O42"/>
  </mergeCells>
  <conditionalFormatting sqref="G63:K63">
    <cfRule type="containsText" dxfId="10"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789C5-8ACC-46B3-8F90-8DD82F4FF875}">
  <dimension ref="A1:T1013"/>
  <sheetViews>
    <sheetView topLeftCell="H1" workbookViewId="0">
      <selection activeCell="K10" sqref="K10:L12"/>
    </sheetView>
  </sheetViews>
  <sheetFormatPr defaultColWidth="14.42578125" defaultRowHeight="15" customHeight="1"/>
  <cols>
    <col min="1" max="9" width="12.140625" style="1056" customWidth="1"/>
    <col min="10" max="10" width="15.140625" style="1056" customWidth="1"/>
    <col min="11" max="11" width="19.42578125" style="1056" customWidth="1"/>
    <col min="12" max="12" width="17.85546875" style="1056" customWidth="1"/>
    <col min="13" max="13" width="17" style="1056" customWidth="1"/>
    <col min="14" max="14" width="16.5703125" style="1056" customWidth="1"/>
    <col min="15" max="16" width="12.140625" style="1056" customWidth="1"/>
    <col min="17" max="17" width="8.85546875" style="1056" customWidth="1"/>
    <col min="18" max="18" width="12.140625" style="1056" customWidth="1"/>
    <col min="19" max="19" width="27.7109375" style="1056" customWidth="1"/>
    <col min="20" max="26" width="12.140625" style="1056" customWidth="1"/>
    <col min="27" max="16384" width="14.42578125" style="1056"/>
  </cols>
  <sheetData>
    <row r="1" spans="1:20" ht="14.25" customHeight="1"/>
    <row r="2" spans="1:20" ht="14.25" customHeight="1" thickBot="1"/>
    <row r="3" spans="1:20" ht="14.25" customHeight="1" thickBot="1">
      <c r="I3" s="1057" t="s">
        <v>103</v>
      </c>
      <c r="J3" s="1058" t="s">
        <v>606</v>
      </c>
      <c r="K3" s="1058"/>
      <c r="L3" s="1852" t="s">
        <v>607</v>
      </c>
      <c r="M3" s="1853"/>
      <c r="N3" s="1059">
        <v>0.12</v>
      </c>
    </row>
    <row r="4" spans="1:20" ht="14.25" customHeight="1" thickBot="1">
      <c r="A4" s="1060" t="s">
        <v>687</v>
      </c>
      <c r="B4" s="1061"/>
      <c r="C4" s="1061"/>
      <c r="D4" s="1061"/>
      <c r="E4" s="1061"/>
      <c r="F4" s="1061"/>
      <c r="I4" s="1058"/>
      <c r="J4" s="1058"/>
      <c r="K4" s="1058"/>
      <c r="L4" s="1850" t="s">
        <v>608</v>
      </c>
      <c r="M4" s="1851"/>
      <c r="N4" s="1062">
        <v>60</v>
      </c>
    </row>
    <row r="5" spans="1:20" ht="14.25" customHeight="1" thickBot="1">
      <c r="A5" s="1061" t="s">
        <v>688</v>
      </c>
      <c r="B5" s="1061"/>
      <c r="C5" s="1061"/>
      <c r="D5" s="1061"/>
      <c r="E5" s="1061"/>
      <c r="F5" s="1061"/>
      <c r="I5" s="1063" t="s">
        <v>609</v>
      </c>
      <c r="J5" s="1064">
        <f>5000000*1.1*0.6</f>
        <v>3300000</v>
      </c>
      <c r="K5" s="1058"/>
      <c r="L5" s="1850" t="s">
        <v>610</v>
      </c>
      <c r="M5" s="1851"/>
      <c r="N5" s="1062">
        <v>360</v>
      </c>
      <c r="O5" s="1056" t="s">
        <v>611</v>
      </c>
    </row>
    <row r="6" spans="1:20" ht="14.25" customHeight="1" thickBot="1">
      <c r="A6" s="1061" t="s">
        <v>689</v>
      </c>
      <c r="B6" s="1061"/>
      <c r="C6" s="1061" t="s">
        <v>690</v>
      </c>
      <c r="D6" s="1061"/>
      <c r="E6" s="1061"/>
      <c r="F6" s="1061"/>
      <c r="I6" s="1065" t="s">
        <v>102</v>
      </c>
      <c r="J6" s="1066">
        <f>N7</f>
        <v>0.12616241926400007</v>
      </c>
      <c r="K6" s="1058"/>
      <c r="L6" s="1850" t="s">
        <v>612</v>
      </c>
      <c r="M6" s="1851"/>
      <c r="N6" s="1062">
        <v>360</v>
      </c>
      <c r="R6" s="1843" t="s">
        <v>613</v>
      </c>
      <c r="S6" s="1844"/>
      <c r="T6" s="1845"/>
    </row>
    <row r="7" spans="1:20" ht="14.25" customHeight="1" thickBot="1">
      <c r="A7" s="1061"/>
      <c r="B7" s="1061"/>
      <c r="C7" s="1061" t="s">
        <v>691</v>
      </c>
      <c r="D7" s="1061"/>
      <c r="E7" s="1061"/>
      <c r="F7" s="1061"/>
      <c r="I7" s="1067" t="s">
        <v>614</v>
      </c>
      <c r="J7" s="1068">
        <v>3</v>
      </c>
      <c r="K7" s="1058" t="s">
        <v>615</v>
      </c>
      <c r="L7" s="1846" t="s">
        <v>616</v>
      </c>
      <c r="M7" s="1847"/>
      <c r="N7" s="1069">
        <f>((1+N3*N4/N6)^(N5/N4))-1</f>
        <v>0.12616241926400007</v>
      </c>
      <c r="R7" s="1848" t="s">
        <v>484</v>
      </c>
      <c r="S7" s="1849"/>
      <c r="T7" s="1070">
        <v>7.0000000000000007E-2</v>
      </c>
    </row>
    <row r="8" spans="1:20" ht="14.25" customHeight="1" thickBot="1">
      <c r="A8" s="1061"/>
      <c r="B8" s="1061"/>
      <c r="C8" s="1061" t="s">
        <v>692</v>
      </c>
      <c r="D8" s="1061"/>
      <c r="E8" s="1061"/>
      <c r="F8" s="1061"/>
      <c r="I8" s="1058"/>
      <c r="J8" s="1058"/>
      <c r="K8" s="1058"/>
      <c r="L8" s="1058"/>
      <c r="M8" s="1058"/>
      <c r="N8" s="1058"/>
      <c r="R8" s="1848" t="s">
        <v>617</v>
      </c>
      <c r="S8" s="1849"/>
      <c r="T8" s="1071">
        <v>60</v>
      </c>
    </row>
    <row r="9" spans="1:20" ht="14.25" customHeight="1">
      <c r="I9" s="1072" t="s">
        <v>427</v>
      </c>
      <c r="J9" s="1073" t="s">
        <v>428</v>
      </c>
      <c r="K9" s="1103" t="s">
        <v>102</v>
      </c>
      <c r="L9" s="1103" t="s">
        <v>107</v>
      </c>
      <c r="M9" s="1073" t="s">
        <v>109</v>
      </c>
      <c r="N9" s="1074" t="s">
        <v>429</v>
      </c>
      <c r="R9" s="1848" t="s">
        <v>618</v>
      </c>
      <c r="S9" s="1849"/>
      <c r="T9" s="1071">
        <v>360</v>
      </c>
    </row>
    <row r="10" spans="1:20" ht="14.25" customHeight="1" thickBot="1">
      <c r="I10" s="1075">
        <v>1</v>
      </c>
      <c r="J10" s="1076">
        <f>J5</f>
        <v>3300000</v>
      </c>
      <c r="K10" s="1076">
        <f t="shared" ref="K10:K19" si="0">J10*$J$6</f>
        <v>416335.98357120022</v>
      </c>
      <c r="L10" s="1076">
        <f t="shared" ref="L10:L19" si="1">M10-K10</f>
        <v>972188.28168960987</v>
      </c>
      <c r="M10" s="1076">
        <f>J5*J6/(1-(1+J6)^-J7)</f>
        <v>1388524.26526081</v>
      </c>
      <c r="N10" s="1077">
        <f t="shared" ref="N10:N19" si="2">J10-L10</f>
        <v>2327811.7183103901</v>
      </c>
      <c r="R10" s="1854" t="s">
        <v>619</v>
      </c>
      <c r="S10" s="1855"/>
      <c r="T10" s="1078">
        <f>(1+T7)^(T9/T8)-1</f>
        <v>0.50073035184900005</v>
      </c>
    </row>
    <row r="11" spans="1:20" ht="14.25" customHeight="1">
      <c r="I11" s="1075">
        <v>2</v>
      </c>
      <c r="J11" s="1076">
        <f t="shared" ref="J11:J19" si="3">N10</f>
        <v>2327811.7183103901</v>
      </c>
      <c r="K11" s="1076">
        <f t="shared" si="0"/>
        <v>293682.35797312786</v>
      </c>
      <c r="L11" s="1076">
        <f t="shared" si="1"/>
        <v>1094841.9072876822</v>
      </c>
      <c r="M11" s="1076">
        <f t="shared" ref="M11:M19" si="4">+M10</f>
        <v>1388524.26526081</v>
      </c>
      <c r="N11" s="1077">
        <f t="shared" si="2"/>
        <v>1232969.811022708</v>
      </c>
    </row>
    <row r="12" spans="1:20" ht="14.25" customHeight="1">
      <c r="A12" s="1079" t="s">
        <v>386</v>
      </c>
      <c r="B12" s="1080"/>
      <c r="C12" s="1080"/>
      <c r="D12" s="1080"/>
      <c r="E12" s="1080"/>
      <c r="F12" s="1080"/>
      <c r="I12" s="1075">
        <v>3</v>
      </c>
      <c r="J12" s="1076">
        <f t="shared" si="3"/>
        <v>1232969.811022708</v>
      </c>
      <c r="K12" s="1076">
        <f t="shared" si="0"/>
        <v>155554.45423810181</v>
      </c>
      <c r="L12" s="1076">
        <f t="shared" si="1"/>
        <v>1232969.8110227082</v>
      </c>
      <c r="M12" s="1076">
        <f t="shared" si="4"/>
        <v>1388524.26526081</v>
      </c>
      <c r="N12" s="1077">
        <f t="shared" si="2"/>
        <v>0</v>
      </c>
    </row>
    <row r="13" spans="1:20" ht="14.25" customHeight="1">
      <c r="A13" s="1080" t="s">
        <v>693</v>
      </c>
      <c r="B13" s="1080"/>
      <c r="C13" s="1080"/>
      <c r="D13" s="1080" t="s">
        <v>694</v>
      </c>
      <c r="E13" s="1080"/>
      <c r="F13" s="1080"/>
      <c r="I13" s="1075">
        <v>4</v>
      </c>
      <c r="J13" s="1076">
        <f t="shared" si="3"/>
        <v>0</v>
      </c>
      <c r="K13" s="1076">
        <f t="shared" si="0"/>
        <v>0</v>
      </c>
      <c r="L13" s="1076">
        <f t="shared" si="1"/>
        <v>1388524.26526081</v>
      </c>
      <c r="M13" s="1076">
        <f t="shared" si="4"/>
        <v>1388524.26526081</v>
      </c>
      <c r="N13" s="1077">
        <f t="shared" si="2"/>
        <v>-1388524.26526081</v>
      </c>
    </row>
    <row r="14" spans="1:20" ht="14.25" customHeight="1">
      <c r="A14" s="1080" t="s">
        <v>695</v>
      </c>
      <c r="B14" s="1080"/>
      <c r="C14" s="1080"/>
      <c r="D14" s="1080" t="s">
        <v>696</v>
      </c>
      <c r="E14" s="1080"/>
      <c r="F14" s="1080"/>
      <c r="I14" s="1075">
        <v>5</v>
      </c>
      <c r="J14" s="1076">
        <f t="shared" si="3"/>
        <v>-1388524.26526081</v>
      </c>
      <c r="K14" s="1076">
        <f t="shared" si="0"/>
        <v>-175179.58051207196</v>
      </c>
      <c r="L14" s="1076">
        <f t="shared" si="1"/>
        <v>1563703.845772882</v>
      </c>
      <c r="M14" s="1076">
        <f t="shared" si="4"/>
        <v>1388524.26526081</v>
      </c>
      <c r="N14" s="1077">
        <f t="shared" si="2"/>
        <v>-2952228.111033692</v>
      </c>
    </row>
    <row r="15" spans="1:20" ht="14.25" customHeight="1">
      <c r="A15" s="1080" t="s">
        <v>697</v>
      </c>
      <c r="B15" s="1080"/>
      <c r="C15" s="1080"/>
      <c r="D15" s="1080" t="s">
        <v>698</v>
      </c>
      <c r="E15" s="1080"/>
      <c r="F15" s="1080"/>
      <c r="I15" s="1075">
        <v>6</v>
      </c>
      <c r="J15" s="1076">
        <f t="shared" si="3"/>
        <v>-2952228.111033692</v>
      </c>
      <c r="K15" s="1076">
        <f t="shared" si="0"/>
        <v>-372460.24070719961</v>
      </c>
      <c r="L15" s="1076">
        <f t="shared" si="1"/>
        <v>1760984.5059680096</v>
      </c>
      <c r="M15" s="1076">
        <f t="shared" si="4"/>
        <v>1388524.26526081</v>
      </c>
      <c r="N15" s="1077">
        <f t="shared" si="2"/>
        <v>-4713212.6170017011</v>
      </c>
    </row>
    <row r="16" spans="1:20" ht="14.25" customHeight="1">
      <c r="A16" s="1080"/>
      <c r="B16" s="1080"/>
      <c r="C16" s="1080"/>
      <c r="D16" s="1080"/>
      <c r="E16" s="1080"/>
      <c r="F16" s="1080"/>
      <c r="I16" s="1075">
        <v>7</v>
      </c>
      <c r="J16" s="1076">
        <f t="shared" si="3"/>
        <v>-4713212.6170017011</v>
      </c>
      <c r="K16" s="1076">
        <f t="shared" si="0"/>
        <v>-594630.30626654357</v>
      </c>
      <c r="L16" s="1076">
        <f t="shared" si="1"/>
        <v>1983154.5715273535</v>
      </c>
      <c r="M16" s="1076">
        <f t="shared" si="4"/>
        <v>1388524.26526081</v>
      </c>
      <c r="N16" s="1077">
        <f t="shared" si="2"/>
        <v>-6696367.1885290546</v>
      </c>
    </row>
    <row r="17" spans="1:14" ht="14.25" customHeight="1">
      <c r="A17" s="1080"/>
      <c r="B17" s="1080"/>
      <c r="C17" s="1080"/>
      <c r="D17" s="1080"/>
      <c r="E17" s="1080"/>
      <c r="F17" s="1080"/>
      <c r="I17" s="1075">
        <v>8</v>
      </c>
      <c r="J17" s="1076">
        <f t="shared" si="3"/>
        <v>-6696367.1885290546</v>
      </c>
      <c r="K17" s="1076">
        <f t="shared" si="0"/>
        <v>-844829.88478489604</v>
      </c>
      <c r="L17" s="1076">
        <f t="shared" si="1"/>
        <v>2233354.150045706</v>
      </c>
      <c r="M17" s="1076">
        <f t="shared" si="4"/>
        <v>1388524.26526081</v>
      </c>
      <c r="N17" s="1077">
        <f t="shared" si="2"/>
        <v>-8929721.3385747597</v>
      </c>
    </row>
    <row r="18" spans="1:14" ht="14.25" customHeight="1">
      <c r="A18" s="1080"/>
      <c r="B18" s="1080"/>
      <c r="C18" s="1080"/>
      <c r="D18" s="1080"/>
      <c r="E18" s="1080"/>
      <c r="F18" s="1080"/>
      <c r="I18" s="1075">
        <v>9</v>
      </c>
      <c r="J18" s="1076">
        <f t="shared" si="3"/>
        <v>-8929721.3385747597</v>
      </c>
      <c r="K18" s="1076">
        <f t="shared" si="0"/>
        <v>-1126595.2474279567</v>
      </c>
      <c r="L18" s="1076">
        <f t="shared" si="1"/>
        <v>2515119.5126887667</v>
      </c>
      <c r="M18" s="1076">
        <f t="shared" si="4"/>
        <v>1388524.26526081</v>
      </c>
      <c r="N18" s="1077">
        <f t="shared" si="2"/>
        <v>-11444840.851263527</v>
      </c>
    </row>
    <row r="19" spans="1:14" ht="14.25" customHeight="1">
      <c r="A19" s="1080"/>
      <c r="B19" s="1080"/>
      <c r="C19" s="1080"/>
      <c r="D19" s="1080"/>
      <c r="E19" s="1080"/>
      <c r="F19" s="1080"/>
      <c r="I19" s="1075">
        <v>10</v>
      </c>
      <c r="J19" s="1076">
        <f t="shared" si="3"/>
        <v>-11444840.851263527</v>
      </c>
      <c r="K19" s="1076">
        <f t="shared" si="0"/>
        <v>-1443908.8098868646</v>
      </c>
      <c r="L19" s="1076">
        <f t="shared" si="1"/>
        <v>2832433.0751476744</v>
      </c>
      <c r="M19" s="1076">
        <f t="shared" si="4"/>
        <v>1388524.26526081</v>
      </c>
      <c r="N19" s="1077">
        <f t="shared" si="2"/>
        <v>-14277273.9264112</v>
      </c>
    </row>
    <row r="20" spans="1:14" ht="14.25" customHeight="1" thickBot="1">
      <c r="A20" s="1080"/>
      <c r="B20" s="1080"/>
      <c r="C20" s="1080"/>
      <c r="D20" s="1080"/>
      <c r="E20" s="1080"/>
      <c r="F20" s="1080"/>
      <c r="I20" s="1081" t="s">
        <v>621</v>
      </c>
      <c r="J20" s="1082"/>
      <c r="K20" s="1082">
        <f>SUM(K10:K12)</f>
        <v>865572.79578242986</v>
      </c>
      <c r="L20" s="1082">
        <f>SUM(L10:L12)</f>
        <v>3300000</v>
      </c>
      <c r="M20" s="1082">
        <f>SUM(M10:M13)</f>
        <v>5554097.0610432401</v>
      </c>
      <c r="N20" s="1083"/>
    </row>
    <row r="21" spans="1:14" ht="14.25" customHeight="1" thickBot="1">
      <c r="A21" s="1080"/>
      <c r="B21" s="1080"/>
      <c r="C21" s="1080"/>
      <c r="D21" s="1080"/>
      <c r="E21" s="1080"/>
      <c r="F21" s="1080"/>
    </row>
    <row r="22" spans="1:14" ht="14.25" customHeight="1" thickBot="1">
      <c r="I22" s="1057" t="s">
        <v>108</v>
      </c>
      <c r="J22" s="1058" t="s">
        <v>1013</v>
      </c>
      <c r="K22" s="1058"/>
      <c r="L22" s="1852" t="s">
        <v>607</v>
      </c>
      <c r="M22" s="1853"/>
      <c r="N22" s="1059">
        <v>0.13</v>
      </c>
    </row>
    <row r="23" spans="1:14" ht="14.25" customHeight="1" thickBot="1">
      <c r="I23" s="1058"/>
      <c r="J23" s="1058"/>
      <c r="K23" s="1058"/>
      <c r="L23" s="1850" t="s">
        <v>608</v>
      </c>
      <c r="M23" s="1851"/>
      <c r="N23" s="1062">
        <v>360</v>
      </c>
    </row>
    <row r="24" spans="1:14" ht="14.25" customHeight="1">
      <c r="I24" s="1063" t="s">
        <v>609</v>
      </c>
      <c r="J24" s="1064">
        <v>3500000</v>
      </c>
      <c r="K24" s="1058"/>
      <c r="L24" s="1850" t="s">
        <v>610</v>
      </c>
      <c r="M24" s="1851"/>
      <c r="N24" s="1062">
        <v>360</v>
      </c>
    </row>
    <row r="25" spans="1:14" ht="14.25" customHeight="1">
      <c r="I25" s="1065" t="s">
        <v>102</v>
      </c>
      <c r="J25" s="1066">
        <f>N26</f>
        <v>0.12999999999999989</v>
      </c>
      <c r="K25" s="1058"/>
      <c r="L25" s="1850" t="s">
        <v>612</v>
      </c>
      <c r="M25" s="1851"/>
      <c r="N25" s="1062">
        <v>360</v>
      </c>
    </row>
    <row r="26" spans="1:14" ht="14.25" customHeight="1" thickBot="1">
      <c r="A26" s="1084" t="s">
        <v>699</v>
      </c>
      <c r="I26" s="1067" t="s">
        <v>614</v>
      </c>
      <c r="J26" s="1068">
        <v>10</v>
      </c>
      <c r="K26" s="1058"/>
      <c r="L26" s="1846" t="s">
        <v>616</v>
      </c>
      <c r="M26" s="1847"/>
      <c r="N26" s="1069">
        <f>((1+N22*N23/N25)^(N24/N23))-1</f>
        <v>0.12999999999999989</v>
      </c>
    </row>
    <row r="27" spans="1:14" ht="14.25" customHeight="1" thickBot="1">
      <c r="A27" s="1085"/>
      <c r="I27" s="1058"/>
      <c r="J27" s="1058"/>
      <c r="K27" s="1058"/>
      <c r="L27" s="1058"/>
      <c r="M27" s="1058"/>
      <c r="N27" s="1058"/>
    </row>
    <row r="28" spans="1:14" ht="14.25" customHeight="1">
      <c r="I28" s="1072" t="s">
        <v>427</v>
      </c>
      <c r="J28" s="1073" t="s">
        <v>428</v>
      </c>
      <c r="K28" s="1073" t="s">
        <v>102</v>
      </c>
      <c r="L28" s="1073" t="s">
        <v>107</v>
      </c>
      <c r="M28" s="1073" t="s">
        <v>109</v>
      </c>
      <c r="N28" s="1074" t="s">
        <v>429</v>
      </c>
    </row>
    <row r="29" spans="1:14" ht="14.25" customHeight="1">
      <c r="A29" s="1086" t="s">
        <v>0</v>
      </c>
      <c r="B29" s="1087">
        <v>0.12</v>
      </c>
      <c r="I29" s="1075">
        <v>1</v>
      </c>
      <c r="J29" s="1076">
        <f>J24</f>
        <v>3500000</v>
      </c>
      <c r="K29" s="1076">
        <f t="shared" ref="K29:K38" si="5">J29*$J$25</f>
        <v>454999.99999999965</v>
      </c>
      <c r="L29" s="1076">
        <f>J29/$J$26</f>
        <v>350000</v>
      </c>
      <c r="M29" s="1076">
        <f t="shared" ref="M29:M38" si="6">K29+L29</f>
        <v>804999.99999999965</v>
      </c>
      <c r="N29" s="1077">
        <f t="shared" ref="N29:N38" si="7">J29-L29</f>
        <v>3150000</v>
      </c>
    </row>
    <row r="30" spans="1:14" ht="14.25" customHeight="1">
      <c r="A30" s="1086" t="s">
        <v>700</v>
      </c>
      <c r="B30" s="1088">
        <v>360</v>
      </c>
      <c r="I30" s="1075">
        <v>2</v>
      </c>
      <c r="J30" s="1076">
        <f t="shared" ref="J30:J38" si="8">N29</f>
        <v>3150000</v>
      </c>
      <c r="K30" s="1076">
        <f t="shared" si="5"/>
        <v>409499.99999999965</v>
      </c>
      <c r="L30" s="1076">
        <f t="shared" ref="L30:L38" si="9">L29</f>
        <v>350000</v>
      </c>
      <c r="M30" s="1076">
        <f t="shared" si="6"/>
        <v>759499.99999999965</v>
      </c>
      <c r="N30" s="1077">
        <f t="shared" si="7"/>
        <v>2800000</v>
      </c>
    </row>
    <row r="31" spans="1:14" ht="14.25" customHeight="1">
      <c r="A31" s="1089" t="s">
        <v>701</v>
      </c>
      <c r="B31" s="1088">
        <v>60</v>
      </c>
      <c r="C31" s="1056" t="s">
        <v>702</v>
      </c>
      <c r="I31" s="1075">
        <v>3</v>
      </c>
      <c r="J31" s="1076">
        <f t="shared" si="8"/>
        <v>2800000</v>
      </c>
      <c r="K31" s="1076">
        <f t="shared" si="5"/>
        <v>363999.99999999971</v>
      </c>
      <c r="L31" s="1076">
        <f t="shared" si="9"/>
        <v>350000</v>
      </c>
      <c r="M31" s="1076">
        <f t="shared" si="6"/>
        <v>713999.99999999977</v>
      </c>
      <c r="N31" s="1077">
        <f t="shared" si="7"/>
        <v>2450000</v>
      </c>
    </row>
    <row r="32" spans="1:14" ht="14.25" customHeight="1">
      <c r="A32" s="1089"/>
      <c r="B32" s="1089"/>
      <c r="I32" s="1075">
        <v>4</v>
      </c>
      <c r="J32" s="1076">
        <f t="shared" si="8"/>
        <v>2450000</v>
      </c>
      <c r="K32" s="1076">
        <f t="shared" si="5"/>
        <v>318499.99999999977</v>
      </c>
      <c r="L32" s="1076">
        <f t="shared" si="9"/>
        <v>350000</v>
      </c>
      <c r="M32" s="1076">
        <f t="shared" si="6"/>
        <v>668499.99999999977</v>
      </c>
      <c r="N32" s="1077">
        <f t="shared" si="7"/>
        <v>2100000</v>
      </c>
    </row>
    <row r="33" spans="1:14" ht="14.25" customHeight="1">
      <c r="A33" s="1086" t="s">
        <v>703</v>
      </c>
      <c r="B33" s="1090">
        <f>(1+B29*B31/B30)^(B34/B31)-1</f>
        <v>0.12616241926400007</v>
      </c>
      <c r="I33" s="1075">
        <v>5</v>
      </c>
      <c r="J33" s="1076">
        <f t="shared" si="8"/>
        <v>2100000</v>
      </c>
      <c r="K33" s="1076">
        <f t="shared" si="5"/>
        <v>272999.99999999977</v>
      </c>
      <c r="L33" s="1076">
        <f t="shared" si="9"/>
        <v>350000</v>
      </c>
      <c r="M33" s="1076">
        <f t="shared" si="6"/>
        <v>622999.99999999977</v>
      </c>
      <c r="N33" s="1077">
        <f t="shared" si="7"/>
        <v>1750000</v>
      </c>
    </row>
    <row r="34" spans="1:14" ht="14.25" customHeight="1">
      <c r="A34" s="1086" t="s">
        <v>700</v>
      </c>
      <c r="B34" s="1088">
        <v>360</v>
      </c>
      <c r="I34" s="1075">
        <v>6</v>
      </c>
      <c r="J34" s="1076">
        <f t="shared" si="8"/>
        <v>1750000</v>
      </c>
      <c r="K34" s="1076">
        <f t="shared" si="5"/>
        <v>227499.99999999983</v>
      </c>
      <c r="L34" s="1076">
        <f t="shared" si="9"/>
        <v>350000</v>
      </c>
      <c r="M34" s="1076">
        <f t="shared" si="6"/>
        <v>577499.99999999977</v>
      </c>
      <c r="N34" s="1077">
        <f t="shared" si="7"/>
        <v>1400000</v>
      </c>
    </row>
    <row r="35" spans="1:14" ht="14.25" customHeight="1">
      <c r="I35" s="1075">
        <v>7</v>
      </c>
      <c r="J35" s="1076">
        <f t="shared" si="8"/>
        <v>1400000</v>
      </c>
      <c r="K35" s="1076">
        <f t="shared" si="5"/>
        <v>181999.99999999985</v>
      </c>
      <c r="L35" s="1076">
        <f t="shared" si="9"/>
        <v>350000</v>
      </c>
      <c r="M35" s="1076">
        <f t="shared" si="6"/>
        <v>531999.99999999988</v>
      </c>
      <c r="N35" s="1077">
        <f t="shared" si="7"/>
        <v>1050000</v>
      </c>
    </row>
    <row r="36" spans="1:14" ht="14.25" customHeight="1">
      <c r="I36" s="1075">
        <v>8</v>
      </c>
      <c r="J36" s="1076">
        <f t="shared" si="8"/>
        <v>1050000</v>
      </c>
      <c r="K36" s="1076">
        <f t="shared" si="5"/>
        <v>136499.99999999988</v>
      </c>
      <c r="L36" s="1076">
        <f t="shared" si="9"/>
        <v>350000</v>
      </c>
      <c r="M36" s="1076">
        <f t="shared" si="6"/>
        <v>486499.99999999988</v>
      </c>
      <c r="N36" s="1077">
        <f t="shared" si="7"/>
        <v>700000</v>
      </c>
    </row>
    <row r="37" spans="1:14" ht="14.25" customHeight="1">
      <c r="I37" s="1075">
        <v>9</v>
      </c>
      <c r="J37" s="1076">
        <f t="shared" si="8"/>
        <v>700000</v>
      </c>
      <c r="K37" s="1076">
        <f t="shared" si="5"/>
        <v>90999.999999999927</v>
      </c>
      <c r="L37" s="1076">
        <f t="shared" si="9"/>
        <v>350000</v>
      </c>
      <c r="M37" s="1076">
        <f t="shared" si="6"/>
        <v>440999.99999999994</v>
      </c>
      <c r="N37" s="1077">
        <f t="shared" si="7"/>
        <v>350000</v>
      </c>
    </row>
    <row r="38" spans="1:14" ht="14.25" customHeight="1">
      <c r="I38" s="1075">
        <v>10</v>
      </c>
      <c r="J38" s="1076">
        <f t="shared" si="8"/>
        <v>350000</v>
      </c>
      <c r="K38" s="1076">
        <f t="shared" si="5"/>
        <v>45499.999999999964</v>
      </c>
      <c r="L38" s="1076">
        <f t="shared" si="9"/>
        <v>350000</v>
      </c>
      <c r="M38" s="1076">
        <f t="shared" si="6"/>
        <v>395499.99999999994</v>
      </c>
      <c r="N38" s="1077">
        <f t="shared" si="7"/>
        <v>0</v>
      </c>
    </row>
    <row r="39" spans="1:14" ht="14.25" customHeight="1" thickBot="1">
      <c r="I39" s="1091" t="s">
        <v>621</v>
      </c>
      <c r="J39" s="1082"/>
      <c r="K39" s="1082">
        <f>SUM(K29:K32)</f>
        <v>1546999.9999999988</v>
      </c>
      <c r="L39" s="1082">
        <f>SUM(L29:L32)</f>
        <v>1400000</v>
      </c>
      <c r="M39" s="1082">
        <f>SUM(M29:M32)</f>
        <v>2946999.9999999991</v>
      </c>
      <c r="N39" s="1083"/>
    </row>
    <row r="40" spans="1:14" ht="14.25" customHeight="1" thickBot="1"/>
    <row r="41" spans="1:14" ht="14.25" customHeight="1" thickBot="1">
      <c r="I41" s="1057" t="s">
        <v>36</v>
      </c>
      <c r="J41" s="1058" t="s">
        <v>1012</v>
      </c>
      <c r="K41" s="1058"/>
      <c r="L41" s="1852" t="s">
        <v>607</v>
      </c>
      <c r="M41" s="1853"/>
      <c r="N41" s="1059">
        <v>0.08</v>
      </c>
    </row>
    <row r="42" spans="1:14" ht="14.25" customHeight="1" thickBot="1">
      <c r="I42" s="1058"/>
      <c r="J42" s="1058"/>
      <c r="K42" s="1058"/>
      <c r="L42" s="1850" t="s">
        <v>608</v>
      </c>
      <c r="M42" s="1851"/>
      <c r="N42" s="1062">
        <v>30</v>
      </c>
    </row>
    <row r="43" spans="1:14" ht="14.25" customHeight="1">
      <c r="A43" s="1058"/>
      <c r="B43" s="1092"/>
      <c r="I43" s="1063" t="s">
        <v>609</v>
      </c>
      <c r="J43" s="1064">
        <v>15000</v>
      </c>
      <c r="K43" s="1058"/>
      <c r="L43" s="1850" t="s">
        <v>610</v>
      </c>
      <c r="M43" s="1851"/>
      <c r="N43" s="1062">
        <v>360</v>
      </c>
    </row>
    <row r="44" spans="1:14" ht="14.25" customHeight="1">
      <c r="A44" s="1058"/>
      <c r="B44" s="1058"/>
      <c r="I44" s="1065" t="s">
        <v>102</v>
      </c>
      <c r="J44" s="1066">
        <v>0.1</v>
      </c>
      <c r="K44" s="1058"/>
      <c r="L44" s="1850" t="s">
        <v>612</v>
      </c>
      <c r="M44" s="1851"/>
      <c r="N44" s="1062">
        <v>360</v>
      </c>
    </row>
    <row r="45" spans="1:14" ht="14.25" customHeight="1" thickBot="1">
      <c r="A45" s="1058"/>
      <c r="B45" s="1093"/>
      <c r="I45" s="1067" t="s">
        <v>614</v>
      </c>
      <c r="J45" s="1068">
        <v>3</v>
      </c>
      <c r="K45" s="1058"/>
      <c r="L45" s="1846" t="s">
        <v>616</v>
      </c>
      <c r="M45" s="1847"/>
      <c r="N45" s="1069">
        <f>((1+N41*N42/N44)^(N43/N42))-1</f>
        <v>8.2999506807510004E-2</v>
      </c>
    </row>
    <row r="46" spans="1:14" ht="14.25" customHeight="1" thickBot="1">
      <c r="A46" s="1058"/>
      <c r="B46" s="1058"/>
      <c r="I46" s="1058"/>
      <c r="J46" s="1058"/>
      <c r="K46" s="1058"/>
      <c r="L46" s="1058"/>
      <c r="M46" s="1058"/>
      <c r="N46" s="1058"/>
    </row>
    <row r="47" spans="1:14" ht="14.25" customHeight="1">
      <c r="I47" s="1094" t="s">
        <v>427</v>
      </c>
      <c r="J47" s="1095" t="s">
        <v>428</v>
      </c>
      <c r="K47" s="1095" t="s">
        <v>102</v>
      </c>
      <c r="L47" s="1095" t="s">
        <v>107</v>
      </c>
      <c r="M47" s="1095" t="s">
        <v>109</v>
      </c>
      <c r="N47" s="1096" t="s">
        <v>429</v>
      </c>
    </row>
    <row r="48" spans="1:14" ht="14.25" customHeight="1">
      <c r="I48" s="1097">
        <v>1</v>
      </c>
      <c r="J48" s="1098">
        <f>J43</f>
        <v>15000</v>
      </c>
      <c r="K48" s="1098">
        <f>J48*$J$44</f>
        <v>1500</v>
      </c>
      <c r="L48" s="1098">
        <v>0</v>
      </c>
      <c r="M48" s="1098">
        <v>0</v>
      </c>
      <c r="N48" s="1099">
        <f>J48-L48</f>
        <v>15000</v>
      </c>
    </row>
    <row r="49" spans="9:14" ht="14.25" customHeight="1">
      <c r="I49" s="1097">
        <v>2</v>
      </c>
      <c r="J49" s="1098">
        <f>N48</f>
        <v>15000</v>
      </c>
      <c r="K49" s="1098">
        <f>K48</f>
        <v>1500</v>
      </c>
      <c r="L49" s="1098">
        <f>L48</f>
        <v>0</v>
      </c>
      <c r="M49" s="1098">
        <v>0</v>
      </c>
      <c r="N49" s="1099">
        <f>J49-L49</f>
        <v>15000</v>
      </c>
    </row>
    <row r="50" spans="9:14" ht="14.25" customHeight="1" thickBot="1">
      <c r="I50" s="1100">
        <v>3</v>
      </c>
      <c r="J50" s="1101">
        <f>N49</f>
        <v>15000</v>
      </c>
      <c r="K50" s="1101">
        <f>K49</f>
        <v>1500</v>
      </c>
      <c r="L50" s="1101">
        <f>15000</f>
        <v>15000</v>
      </c>
      <c r="M50" s="1101">
        <v>0</v>
      </c>
      <c r="N50" s="1102">
        <f>J50-L50</f>
        <v>0</v>
      </c>
    </row>
    <row r="51" spans="9:14" ht="14.25" customHeight="1"/>
    <row r="52" spans="9:14" ht="14.25" customHeight="1"/>
    <row r="53" spans="9:14" ht="14.25" customHeight="1"/>
    <row r="54" spans="9:14" ht="14.25" customHeight="1"/>
    <row r="55" spans="9:14" ht="14.25" customHeight="1"/>
    <row r="56" spans="9:14" ht="14.25" customHeight="1"/>
    <row r="57" spans="9:14" ht="14.25" customHeight="1"/>
    <row r="58" spans="9:14" ht="14.25" customHeight="1"/>
    <row r="59" spans="9:14" ht="14.25" customHeight="1"/>
    <row r="60" spans="9:14" ht="14.25" customHeight="1"/>
    <row r="61" spans="9:14" ht="14.25" customHeight="1"/>
    <row r="62" spans="9:14" ht="14.25" customHeight="1"/>
    <row r="63" spans="9:14" ht="14.25" customHeight="1"/>
    <row r="64" spans="9:1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sheetData>
  <mergeCells count="20">
    <mergeCell ref="L45:M45"/>
    <mergeCell ref="L25:M25"/>
    <mergeCell ref="L26:M26"/>
    <mergeCell ref="L41:M41"/>
    <mergeCell ref="L42:M42"/>
    <mergeCell ref="L43:M43"/>
    <mergeCell ref="L44:M44"/>
    <mergeCell ref="R6:T6"/>
    <mergeCell ref="L7:M7"/>
    <mergeCell ref="R7:S7"/>
    <mergeCell ref="L24:M24"/>
    <mergeCell ref="L3:M3"/>
    <mergeCell ref="L4:M4"/>
    <mergeCell ref="L5:M5"/>
    <mergeCell ref="L6:M6"/>
    <mergeCell ref="R8:S8"/>
    <mergeCell ref="R9:S9"/>
    <mergeCell ref="R10:S10"/>
    <mergeCell ref="L22:M22"/>
    <mergeCell ref="L23:M23"/>
  </mergeCells>
  <hyperlinks>
    <hyperlink ref="A26" r:id="rId1" xr:uid="{07777033-C58B-4A72-8C58-73C93569F8E8}"/>
  </hyperlinks>
  <pageMargins left="0.7" right="0.7" top="0.75" bottom="0.75" header="0" footer="0"/>
  <pageSetup orientation="landscape"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614F5-2853-4D71-9BFD-1402B4603BC7}">
  <sheetPr>
    <outlinePr summaryBelow="0" summaryRight="0"/>
  </sheetPr>
  <dimension ref="A1:N81"/>
  <sheetViews>
    <sheetView topLeftCell="A13" workbookViewId="0">
      <selection activeCell="B35" sqref="B35:B39"/>
    </sheetView>
  </sheetViews>
  <sheetFormatPr defaultColWidth="14.42578125" defaultRowHeight="15.75" customHeight="1"/>
  <cols>
    <col min="1" max="1" width="24" style="600" customWidth="1"/>
    <col min="2" max="4" width="15.42578125" style="600" bestFit="1" customWidth="1"/>
    <col min="5" max="5" width="19.28515625" style="600" customWidth="1"/>
    <col min="6" max="6" width="15.42578125" style="600" bestFit="1" customWidth="1"/>
    <col min="7" max="16384" width="14.42578125" style="600"/>
  </cols>
  <sheetData>
    <row r="1" spans="1:11" ht="15.75" customHeight="1">
      <c r="A1" s="938" t="s">
        <v>1031</v>
      </c>
      <c r="B1" s="938"/>
      <c r="C1" s="939"/>
      <c r="D1" s="940"/>
      <c r="E1" s="940"/>
      <c r="F1" s="940"/>
      <c r="H1" s="941" t="s">
        <v>141</v>
      </c>
      <c r="I1" s="942"/>
    </row>
    <row r="2" spans="1:11" ht="15.75" customHeight="1">
      <c r="A2" s="938" t="s">
        <v>1031</v>
      </c>
      <c r="B2" s="938"/>
      <c r="C2" s="939"/>
      <c r="D2" s="939"/>
      <c r="E2" s="940"/>
      <c r="F2" s="940"/>
      <c r="H2" s="942" t="s">
        <v>1032</v>
      </c>
      <c r="I2" s="942">
        <v>0.75</v>
      </c>
      <c r="J2" s="943" t="s">
        <v>1033</v>
      </c>
      <c r="K2" s="944"/>
    </row>
    <row r="3" spans="1:11" ht="15.75" customHeight="1">
      <c r="A3" s="938" t="s">
        <v>1034</v>
      </c>
      <c r="B3" s="938"/>
      <c r="C3" s="939"/>
      <c r="D3" s="939"/>
      <c r="E3" s="940"/>
      <c r="F3" s="940"/>
      <c r="H3" s="942"/>
      <c r="I3" s="942"/>
      <c r="J3" s="600" t="s">
        <v>1035</v>
      </c>
    </row>
    <row r="4" spans="1:11" ht="15.75" customHeight="1">
      <c r="A4" s="945" t="s">
        <v>1036</v>
      </c>
      <c r="B4" s="945"/>
      <c r="C4" s="939"/>
      <c r="D4" s="939"/>
      <c r="E4" s="940"/>
      <c r="F4" s="940"/>
      <c r="H4" s="942"/>
      <c r="I4" s="942"/>
    </row>
    <row r="5" spans="1:11" ht="15.75" customHeight="1">
      <c r="H5" s="942"/>
      <c r="I5" s="942"/>
    </row>
    <row r="6" spans="1:11" ht="15.75" customHeight="1">
      <c r="A6" s="946" t="s">
        <v>1037</v>
      </c>
      <c r="B6" s="947"/>
      <c r="C6" s="947"/>
      <c r="D6" s="947"/>
      <c r="E6" s="947"/>
      <c r="F6" s="947"/>
      <c r="H6" s="942"/>
      <c r="I6" s="942"/>
    </row>
    <row r="7" spans="1:11" ht="15.75" customHeight="1">
      <c r="A7" s="948" t="s">
        <v>1038</v>
      </c>
      <c r="B7" s="949">
        <v>1</v>
      </c>
      <c r="C7" s="949">
        <v>2</v>
      </c>
      <c r="D7" s="949">
        <v>3</v>
      </c>
      <c r="E7" s="949">
        <v>4</v>
      </c>
      <c r="F7" s="949">
        <v>5</v>
      </c>
      <c r="H7" s="942"/>
      <c r="I7" s="942"/>
    </row>
    <row r="8" spans="1:11" ht="15.75" customHeight="1">
      <c r="A8" s="950" t="s">
        <v>1039</v>
      </c>
      <c r="B8" s="951">
        <v>999</v>
      </c>
      <c r="C8" s="951">
        <v>999</v>
      </c>
      <c r="D8" s="951">
        <v>999</v>
      </c>
      <c r="E8" s="951">
        <v>999</v>
      </c>
      <c r="F8" s="951">
        <v>999</v>
      </c>
      <c r="H8" s="942"/>
      <c r="I8" s="942"/>
    </row>
    <row r="9" spans="1:11" ht="15.75" customHeight="1">
      <c r="A9" s="950" t="s">
        <v>1040</v>
      </c>
      <c r="B9" s="952">
        <v>9999</v>
      </c>
      <c r="C9" s="952">
        <f>(((C8 - B8) / B8) /$I2 ) *B9 + B9</f>
        <v>9999</v>
      </c>
      <c r="D9" s="952">
        <f>(((D8 - C8) / C8) /$I2 ) *C9 + C9</f>
        <v>9999</v>
      </c>
      <c r="E9" s="952">
        <f>(((E8 - D8) / D8) /$I2 ) *D9 + D9</f>
        <v>9999</v>
      </c>
      <c r="F9" s="952">
        <f>(((F8 - E8) / E8) /$I2 ) *E9 + E9</f>
        <v>9999</v>
      </c>
      <c r="H9" s="942"/>
      <c r="I9" s="942"/>
    </row>
    <row r="10" spans="1:11" ht="15.75" customHeight="1">
      <c r="A10" s="953" t="s">
        <v>1041</v>
      </c>
      <c r="B10" s="954">
        <f>B8*B9</f>
        <v>9989001</v>
      </c>
      <c r="C10" s="954">
        <f>C8*C9</f>
        <v>9989001</v>
      </c>
      <c r="D10" s="954">
        <f>D8*D9</f>
        <v>9989001</v>
      </c>
      <c r="E10" s="954">
        <f>E8*E9</f>
        <v>9989001</v>
      </c>
      <c r="F10" s="954">
        <f>F8*F9</f>
        <v>9989001</v>
      </c>
      <c r="H10" s="942"/>
      <c r="I10" s="942"/>
    </row>
    <row r="11" spans="1:11" ht="15.75" customHeight="1">
      <c r="A11" s="950" t="s">
        <v>1042</v>
      </c>
      <c r="B11" s="955">
        <v>999</v>
      </c>
      <c r="C11" s="955">
        <v>999</v>
      </c>
      <c r="D11" s="955">
        <v>999</v>
      </c>
      <c r="E11" s="955">
        <v>999</v>
      </c>
      <c r="F11" s="955">
        <v>999</v>
      </c>
      <c r="H11" s="942"/>
      <c r="I11" s="942"/>
    </row>
    <row r="12" spans="1:11" ht="15.75" customHeight="1">
      <c r="A12" s="950" t="s">
        <v>529</v>
      </c>
      <c r="B12" s="956">
        <f>B11*B8</f>
        <v>998001</v>
      </c>
      <c r="C12" s="956">
        <f>C11*C8</f>
        <v>998001</v>
      </c>
      <c r="D12" s="956">
        <f>D11*D8</f>
        <v>998001</v>
      </c>
      <c r="E12" s="956">
        <f>E11*E8</f>
        <v>998001</v>
      </c>
      <c r="F12" s="956">
        <f>F11*F8</f>
        <v>998001</v>
      </c>
      <c r="H12" s="942"/>
      <c r="I12" s="942"/>
    </row>
    <row r="13" spans="1:11" ht="15.75" customHeight="1">
      <c r="A13" s="600" t="s">
        <v>1043</v>
      </c>
      <c r="H13" s="942"/>
      <c r="I13" s="942"/>
    </row>
    <row r="19" spans="1:14" ht="15.75" customHeight="1" thickBot="1">
      <c r="A19" s="600" t="s">
        <v>1044</v>
      </c>
    </row>
    <row r="20" spans="1:14" ht="15.75" customHeight="1" thickTop="1" thickBot="1">
      <c r="A20" s="1859" t="s">
        <v>1045</v>
      </c>
      <c r="B20" s="1860"/>
      <c r="C20" s="1860"/>
      <c r="D20" s="1860"/>
      <c r="E20" s="1860"/>
      <c r="F20" s="1861"/>
      <c r="I20" s="1856" t="s">
        <v>1047</v>
      </c>
      <c r="J20" s="1857"/>
      <c r="K20" s="1857"/>
      <c r="L20" s="1857"/>
      <c r="M20" s="1857"/>
      <c r="N20" s="1858"/>
    </row>
    <row r="21" spans="1:14" ht="15.75" customHeight="1" thickBot="1">
      <c r="A21" s="1121" t="s">
        <v>427</v>
      </c>
      <c r="B21" s="1122">
        <v>1</v>
      </c>
      <c r="C21" s="1123">
        <v>2</v>
      </c>
      <c r="D21" s="1123">
        <v>3</v>
      </c>
      <c r="E21" s="1123">
        <v>4</v>
      </c>
      <c r="F21" s="1124">
        <v>5</v>
      </c>
      <c r="I21" s="1125" t="s">
        <v>427</v>
      </c>
      <c r="J21" s="1126">
        <v>1</v>
      </c>
      <c r="K21" s="1126">
        <v>2</v>
      </c>
      <c r="L21" s="1126">
        <v>3</v>
      </c>
      <c r="M21" s="1126">
        <v>4</v>
      </c>
      <c r="N21" s="1127">
        <v>5</v>
      </c>
    </row>
    <row r="22" spans="1:14" ht="15.75" customHeight="1" thickBot="1">
      <c r="A22" s="1128" t="s">
        <v>827</v>
      </c>
      <c r="B22" s="1129"/>
      <c r="C22" s="1130">
        <v>-0.9</v>
      </c>
      <c r="D22" s="1130">
        <v>-0.9</v>
      </c>
      <c r="E22" s="1130">
        <v>-0.9</v>
      </c>
      <c r="F22" s="1131">
        <v>-0.9</v>
      </c>
      <c r="G22" s="1822" t="s">
        <v>1048</v>
      </c>
      <c r="I22" s="1125" t="s">
        <v>1032</v>
      </c>
      <c r="J22" s="1132"/>
      <c r="K22" s="1133"/>
      <c r="L22" s="1133"/>
      <c r="M22" s="1133">
        <v>-0.8</v>
      </c>
      <c r="N22" s="1133">
        <v>-0.8</v>
      </c>
    </row>
    <row r="23" spans="1:14" ht="15.75" customHeight="1" thickBot="1">
      <c r="A23" s="1128" t="s">
        <v>177</v>
      </c>
      <c r="B23" s="1134">
        <v>90000</v>
      </c>
      <c r="C23" s="1135">
        <v>80000</v>
      </c>
      <c r="D23" s="1135">
        <v>100000</v>
      </c>
      <c r="E23" s="1135">
        <v>120000</v>
      </c>
      <c r="F23" s="1136">
        <v>130000</v>
      </c>
      <c r="G23" s="1822"/>
      <c r="I23" s="1125" t="s">
        <v>220</v>
      </c>
      <c r="J23" s="1137">
        <v>3500</v>
      </c>
      <c r="K23" s="1137">
        <v>3500</v>
      </c>
      <c r="L23" s="1137">
        <v>3500</v>
      </c>
      <c r="M23" s="1137">
        <f>L23*(1+M24)</f>
        <v>3675</v>
      </c>
      <c r="N23" s="1137">
        <f>M23*(1+N24)</f>
        <v>3858.75</v>
      </c>
    </row>
    <row r="24" spans="1:14" ht="15.75" customHeight="1" thickBot="1">
      <c r="A24" s="1128" t="s">
        <v>828</v>
      </c>
      <c r="B24" s="1138"/>
      <c r="C24" s="1139">
        <f>(C23-B23)/B23</f>
        <v>-0.1111111111111111</v>
      </c>
      <c r="D24" s="1139">
        <f>(D23-C23)/C23</f>
        <v>0.25</v>
      </c>
      <c r="E24" s="1139">
        <f>(E23-D23)/D23</f>
        <v>0.2</v>
      </c>
      <c r="F24" s="1140">
        <f>(F23-E23)/E23</f>
        <v>8.3333333333333329E-2</v>
      </c>
      <c r="I24" s="1125" t="s">
        <v>829</v>
      </c>
      <c r="J24" s="1132"/>
      <c r="K24" s="1141">
        <v>0</v>
      </c>
      <c r="L24" s="1141">
        <v>0</v>
      </c>
      <c r="M24" s="1141">
        <v>0.05</v>
      </c>
      <c r="N24" s="1142">
        <v>0.05</v>
      </c>
    </row>
    <row r="25" spans="1:14" ht="15.75" customHeight="1" thickBot="1">
      <c r="A25" s="1128" t="s">
        <v>829</v>
      </c>
      <c r="B25" s="1138"/>
      <c r="C25" s="1139">
        <f>C24/C22</f>
        <v>0.12345679012345678</v>
      </c>
      <c r="D25" s="1139">
        <f>D24/D22</f>
        <v>-0.27777777777777779</v>
      </c>
      <c r="E25" s="1139">
        <f>E24/E22</f>
        <v>-0.22222222222222224</v>
      </c>
      <c r="F25" s="1140">
        <f>F24/F22</f>
        <v>-9.2592592592592587E-2</v>
      </c>
      <c r="I25" s="1125" t="s">
        <v>1054</v>
      </c>
      <c r="J25" s="1132"/>
      <c r="K25" s="1141">
        <v>0</v>
      </c>
      <c r="L25" s="1141">
        <v>0</v>
      </c>
      <c r="M25" s="1141">
        <f>M24*M22</f>
        <v>-4.0000000000000008E-2</v>
      </c>
      <c r="N25" s="1141">
        <f>N24*N22</f>
        <v>-4.0000000000000008E-2</v>
      </c>
    </row>
    <row r="26" spans="1:14" ht="15.75" customHeight="1" thickBot="1">
      <c r="A26" s="1143" t="s">
        <v>1052</v>
      </c>
      <c r="B26" s="1144">
        <v>300</v>
      </c>
      <c r="C26" s="1145">
        <f>B26*(1+C25)</f>
        <v>337.03703703703707</v>
      </c>
      <c r="D26" s="1145">
        <f>C26*(1+D25)</f>
        <v>243.41563786008231</v>
      </c>
      <c r="E26" s="1145">
        <f>D26*(1+E25)</f>
        <v>189.32327389117515</v>
      </c>
      <c r="F26" s="1146">
        <f>E26*(1+F25)</f>
        <v>171.79334112347374</v>
      </c>
      <c r="I26" s="1147" t="s">
        <v>177</v>
      </c>
      <c r="J26" s="1148">
        <v>25500</v>
      </c>
      <c r="K26" s="1148">
        <v>28050</v>
      </c>
      <c r="L26" s="1148">
        <v>30855</v>
      </c>
      <c r="M26" s="1148">
        <f>L26*(1+M25)</f>
        <v>29620.799999999999</v>
      </c>
      <c r="N26" s="1149">
        <f>M26*(1+N25)</f>
        <v>28435.967999999997</v>
      </c>
    </row>
    <row r="27" spans="1:14" ht="15.75" customHeight="1">
      <c r="A27" s="600" t="s">
        <v>1055</v>
      </c>
      <c r="B27" s="982">
        <f>B23*B26</f>
        <v>27000000</v>
      </c>
      <c r="C27" s="982">
        <f>C23*C26</f>
        <v>26962962.962962966</v>
      </c>
      <c r="D27" s="982">
        <f>D23*D26</f>
        <v>24341563.786008231</v>
      </c>
      <c r="E27" s="982">
        <f>E23*E26</f>
        <v>22718792.866941016</v>
      </c>
      <c r="F27" s="982">
        <f>F23*F26</f>
        <v>22333134.346051585</v>
      </c>
    </row>
    <row r="32" spans="1:14" ht="15.75" customHeight="1" thickBot="1">
      <c r="A32" s="600" t="s">
        <v>788</v>
      </c>
    </row>
    <row r="33" spans="1:11" ht="15.75" customHeight="1" thickBot="1">
      <c r="A33" s="1859" t="s">
        <v>789</v>
      </c>
      <c r="B33" s="1860"/>
      <c r="C33" s="1860"/>
      <c r="D33" s="1860"/>
      <c r="E33" s="1861"/>
    </row>
    <row r="34" spans="1:11" ht="15.75" customHeight="1" thickBot="1">
      <c r="A34" s="1150" t="s">
        <v>105</v>
      </c>
      <c r="B34" s="1151" t="s">
        <v>220</v>
      </c>
      <c r="C34" s="1152" t="s">
        <v>790</v>
      </c>
      <c r="D34" s="1152" t="s">
        <v>791</v>
      </c>
      <c r="E34" s="1153" t="s">
        <v>792</v>
      </c>
    </row>
    <row r="35" spans="1:11" ht="15.75" customHeight="1">
      <c r="A35" s="1154" t="s">
        <v>451</v>
      </c>
      <c r="B35" s="1198">
        <v>8700</v>
      </c>
      <c r="C35" s="1155">
        <v>4500000</v>
      </c>
      <c r="D35" s="1156">
        <v>800000</v>
      </c>
      <c r="E35" s="1201">
        <f>C35*E42+D35*E43</f>
        <v>199000</v>
      </c>
    </row>
    <row r="36" spans="1:11" ht="15.75" customHeight="1">
      <c r="A36" s="1157" t="s">
        <v>632</v>
      </c>
      <c r="B36" s="1199">
        <v>8800</v>
      </c>
      <c r="C36" s="1139">
        <v>4600000</v>
      </c>
      <c r="D36" s="1158">
        <v>800000</v>
      </c>
      <c r="E36" s="1202">
        <f>C36*E42+D36*E43+(B36-B35)*E44</f>
        <v>192000</v>
      </c>
    </row>
    <row r="37" spans="1:11" ht="15.75" customHeight="1">
      <c r="A37" s="1157" t="s">
        <v>793</v>
      </c>
      <c r="B37" s="1199">
        <v>8800</v>
      </c>
      <c r="C37" s="1139">
        <v>4750000</v>
      </c>
      <c r="D37" s="1158">
        <v>900000</v>
      </c>
      <c r="E37" s="1202">
        <f>C37*E42+D37*E43+(B37-B36)*E44</f>
        <v>214500</v>
      </c>
    </row>
    <row r="38" spans="1:11" ht="15.75" customHeight="1">
      <c r="A38" s="1157" t="s">
        <v>794</v>
      </c>
      <c r="B38" s="1199">
        <v>8900</v>
      </c>
      <c r="C38" s="1139">
        <v>4850000</v>
      </c>
      <c r="D38" s="1158">
        <v>900000</v>
      </c>
      <c r="E38" s="1202">
        <f>C38*E42+D38*E43+(B38-B37)*E44</f>
        <v>207500</v>
      </c>
    </row>
    <row r="39" spans="1:11" ht="15.75" customHeight="1" thickBot="1">
      <c r="A39" s="1159" t="s">
        <v>795</v>
      </c>
      <c r="B39" s="1200">
        <v>9000</v>
      </c>
      <c r="C39" s="1160">
        <v>4900000</v>
      </c>
      <c r="D39" s="1161">
        <v>900000</v>
      </c>
      <c r="E39" s="1203">
        <f>C39*E42+D39*E43+(B39-B38)*E44</f>
        <v>209000</v>
      </c>
    </row>
    <row r="40" spans="1:11" ht="15.75" customHeight="1" thickBot="1">
      <c r="A40" s="1056"/>
      <c r="B40" s="1056"/>
      <c r="C40" s="1056"/>
      <c r="D40" s="1056"/>
      <c r="E40" s="1056"/>
    </row>
    <row r="41" spans="1:11" ht="15.75" customHeight="1">
      <c r="A41" s="1162" t="s">
        <v>796</v>
      </c>
      <c r="B41" s="1056"/>
      <c r="C41" s="1056"/>
      <c r="D41" s="1862" t="s">
        <v>797</v>
      </c>
      <c r="E41" s="1863"/>
      <c r="F41" s="1864" t="s">
        <v>1142</v>
      </c>
      <c r="G41" s="1865"/>
      <c r="H41" s="1865"/>
      <c r="I41" s="1865"/>
      <c r="J41" s="1865"/>
      <c r="K41" s="1865"/>
    </row>
    <row r="42" spans="1:11" ht="15.75" customHeight="1">
      <c r="A42" s="1056"/>
      <c r="B42" s="1056"/>
      <c r="C42" s="1056"/>
      <c r="D42" s="1163" t="s">
        <v>798</v>
      </c>
      <c r="E42" s="1164">
        <v>0.03</v>
      </c>
    </row>
    <row r="43" spans="1:11" ht="15.75" customHeight="1">
      <c r="A43" s="1056"/>
      <c r="B43" s="1056"/>
      <c r="C43" s="1056"/>
      <c r="D43" s="1163" t="s">
        <v>799</v>
      </c>
      <c r="E43" s="1164">
        <v>0.08</v>
      </c>
    </row>
    <row r="44" spans="1:11" ht="15.75" customHeight="1" thickBot="1">
      <c r="A44" s="1056"/>
      <c r="B44" s="1056"/>
      <c r="C44" s="1056"/>
      <c r="D44" s="1165" t="s">
        <v>800</v>
      </c>
      <c r="E44" s="1166">
        <v>-100</v>
      </c>
    </row>
    <row r="52" spans="2:9" ht="15.75" customHeight="1" thickBot="1"/>
    <row r="53" spans="2:9" ht="15.75" customHeight="1">
      <c r="B53" s="1167"/>
      <c r="C53" s="1168"/>
      <c r="D53" s="1168"/>
      <c r="E53" s="1168"/>
      <c r="F53" s="1168"/>
      <c r="G53" s="1168"/>
      <c r="H53" s="1168"/>
      <c r="I53" s="1169"/>
    </row>
    <row r="54" spans="2:9" ht="15.75" customHeight="1" thickBot="1">
      <c r="B54" s="1170"/>
      <c r="C54" s="1056"/>
      <c r="D54" s="1171"/>
      <c r="E54" s="1171"/>
      <c r="F54" s="1171"/>
      <c r="G54" s="1171"/>
      <c r="H54" s="1171"/>
      <c r="I54" s="1172"/>
    </row>
    <row r="55" spans="2:9" ht="15.75" customHeight="1" thickBot="1">
      <c r="B55" s="1170" t="s">
        <v>1057</v>
      </c>
      <c r="C55" s="1859" t="s">
        <v>1058</v>
      </c>
      <c r="D55" s="1860"/>
      <c r="E55" s="1860"/>
      <c r="F55" s="1860"/>
      <c r="G55" s="1860"/>
      <c r="H55" s="1861"/>
      <c r="I55" s="1173"/>
    </row>
    <row r="56" spans="2:9" ht="15.75" customHeight="1" thickBot="1">
      <c r="B56" s="1170"/>
      <c r="C56" s="1174" t="s">
        <v>1059</v>
      </c>
      <c r="D56" s="1175" t="s">
        <v>451</v>
      </c>
      <c r="E56" s="1176" t="s">
        <v>1060</v>
      </c>
      <c r="F56" s="1176" t="s">
        <v>793</v>
      </c>
      <c r="G56" s="1176" t="s">
        <v>794</v>
      </c>
      <c r="H56" s="1177" t="s">
        <v>795</v>
      </c>
      <c r="I56" s="1173"/>
    </row>
    <row r="57" spans="2:9" ht="15.75" customHeight="1" thickBot="1">
      <c r="B57" s="1170"/>
      <c r="C57" s="1178" t="s">
        <v>176</v>
      </c>
      <c r="D57" s="1179"/>
      <c r="E57" s="1179"/>
      <c r="F57" s="1179"/>
      <c r="G57" s="1179"/>
      <c r="H57" s="1180"/>
      <c r="I57" s="1173"/>
    </row>
    <row r="58" spans="2:9" ht="15.75" customHeight="1" thickBot="1">
      <c r="B58" s="1170"/>
      <c r="C58" s="1178" t="s">
        <v>1061</v>
      </c>
      <c r="D58" s="1181">
        <v>15000</v>
      </c>
      <c r="E58" s="1181">
        <v>20000</v>
      </c>
      <c r="F58" s="1181">
        <v>30000</v>
      </c>
      <c r="G58" s="1181">
        <v>40000</v>
      </c>
      <c r="H58" s="1182">
        <v>50000</v>
      </c>
      <c r="I58" s="1173"/>
    </row>
    <row r="59" spans="2:9" ht="15.75" customHeight="1" thickBot="1">
      <c r="B59" s="1170"/>
      <c r="C59" s="1056"/>
      <c r="D59" s="1056"/>
      <c r="E59" s="1056"/>
      <c r="F59" s="1056"/>
      <c r="G59" s="1056"/>
      <c r="H59" s="1056"/>
      <c r="I59" s="1173"/>
    </row>
    <row r="60" spans="2:9" ht="15.75" customHeight="1" thickBot="1">
      <c r="B60" s="1170"/>
      <c r="C60" s="1056"/>
      <c r="D60" s="1183" t="s">
        <v>1062</v>
      </c>
      <c r="E60" s="1184" t="s">
        <v>1063</v>
      </c>
      <c r="F60" s="1056"/>
      <c r="G60" s="1056"/>
      <c r="H60" s="1056"/>
      <c r="I60" s="1173"/>
    </row>
    <row r="61" spans="2:9" ht="15.75" customHeight="1">
      <c r="B61" s="1170"/>
      <c r="C61" s="1056"/>
      <c r="D61" s="1185"/>
      <c r="E61" s="1186">
        <v>0.1</v>
      </c>
      <c r="F61" s="1187" t="s">
        <v>1064</v>
      </c>
      <c r="G61" s="1056"/>
      <c r="H61" s="1056"/>
      <c r="I61" s="1173"/>
    </row>
    <row r="62" spans="2:9" ht="15.75" customHeight="1">
      <c r="B62" s="1170"/>
      <c r="C62" s="1056"/>
      <c r="D62" s="1185"/>
      <c r="E62" s="1186">
        <v>0.2</v>
      </c>
      <c r="F62" s="1056"/>
      <c r="G62" s="1056"/>
      <c r="H62" s="1056"/>
      <c r="I62" s="1173"/>
    </row>
    <row r="63" spans="2:9" ht="15.75" customHeight="1">
      <c r="B63" s="1170"/>
      <c r="C63" s="1056"/>
      <c r="D63" s="1185"/>
      <c r="E63" s="1186">
        <v>0.1</v>
      </c>
      <c r="F63" s="1056"/>
      <c r="G63" s="1056"/>
      <c r="H63" s="1056"/>
      <c r="I63" s="1173"/>
    </row>
    <row r="64" spans="2:9" ht="15.75" customHeight="1">
      <c r="B64" s="1170"/>
      <c r="C64" s="1056"/>
      <c r="D64" s="1185"/>
      <c r="E64" s="1186">
        <v>0.15</v>
      </c>
      <c r="F64" s="1056"/>
      <c r="G64" s="1056"/>
      <c r="H64" s="1056"/>
      <c r="I64" s="1173"/>
    </row>
    <row r="65" spans="2:9" ht="15.75" customHeight="1" thickBot="1">
      <c r="B65" s="1170"/>
      <c r="C65" s="1056"/>
      <c r="D65" s="1188"/>
      <c r="E65" s="1189">
        <v>0.1</v>
      </c>
      <c r="F65" s="1056"/>
      <c r="G65" s="1056"/>
      <c r="H65" s="1056"/>
      <c r="I65" s="1173"/>
    </row>
    <row r="66" spans="2:9" ht="15.75" customHeight="1" thickBot="1">
      <c r="B66" s="1170"/>
      <c r="C66" s="1056"/>
      <c r="D66" s="1056"/>
      <c r="E66" s="1056"/>
      <c r="F66" s="1056"/>
      <c r="G66" s="1056"/>
      <c r="H66" s="1056"/>
      <c r="I66" s="1173"/>
    </row>
    <row r="67" spans="2:9" ht="15.75" customHeight="1" thickBot="1">
      <c r="B67" s="1170"/>
      <c r="C67" s="1859" t="s">
        <v>1065</v>
      </c>
      <c r="D67" s="1860"/>
      <c r="E67" s="1860"/>
      <c r="F67" s="1860"/>
      <c r="G67" s="1860"/>
      <c r="H67" s="1861"/>
      <c r="I67" s="1173"/>
    </row>
    <row r="68" spans="2:9" ht="15.75" customHeight="1" thickBot="1">
      <c r="B68" s="1170"/>
      <c r="C68" s="1178" t="s">
        <v>1066</v>
      </c>
      <c r="D68" s="1175" t="s">
        <v>451</v>
      </c>
      <c r="E68" s="1176" t="s">
        <v>1060</v>
      </c>
      <c r="F68" s="1176" t="s">
        <v>793</v>
      </c>
      <c r="G68" s="1176" t="s">
        <v>794</v>
      </c>
      <c r="H68" s="1177" t="s">
        <v>795</v>
      </c>
      <c r="I68" s="1173"/>
    </row>
    <row r="69" spans="2:9" ht="15.75" customHeight="1" thickBot="1">
      <c r="B69" s="1170"/>
      <c r="C69" s="1178" t="s">
        <v>1061</v>
      </c>
      <c r="D69" s="1190">
        <f>(D58*$E$50)+(D58*$E$51)</f>
        <v>0</v>
      </c>
      <c r="E69" s="1190">
        <f>(E58*$E$50)+(E58*$E$51)</f>
        <v>0</v>
      </c>
      <c r="F69" s="1190">
        <f>(F58*$E$50)+(F58*$E$51)</f>
        <v>0</v>
      </c>
      <c r="G69" s="1190">
        <f>(G58*$E$50)+(G58*$E$51)</f>
        <v>0</v>
      </c>
      <c r="H69" s="1166">
        <f>(H58*$E$50)+(H58*$E$51)</f>
        <v>0</v>
      </c>
      <c r="I69" s="1191" t="s">
        <v>1067</v>
      </c>
    </row>
    <row r="70" spans="2:9" ht="15.75" customHeight="1">
      <c r="B70" s="1170"/>
      <c r="C70" s="1056"/>
      <c r="D70" s="1056"/>
      <c r="E70" s="1056"/>
      <c r="F70" s="1056"/>
      <c r="G70" s="1056"/>
      <c r="H70" s="1056"/>
      <c r="I70" s="1173"/>
    </row>
    <row r="71" spans="2:9" ht="15.75" customHeight="1" thickBot="1">
      <c r="B71" s="1170"/>
      <c r="I71" s="1023"/>
    </row>
    <row r="72" spans="2:9" ht="15.75" customHeight="1" thickBot="1">
      <c r="B72" s="1170" t="s">
        <v>1068</v>
      </c>
      <c r="C72" s="1859" t="s">
        <v>1069</v>
      </c>
      <c r="D72" s="1860"/>
      <c r="E72" s="1860"/>
      <c r="F72" s="1860"/>
      <c r="G72" s="1861"/>
      <c r="I72" s="1023"/>
    </row>
    <row r="73" spans="2:9" ht="15.75" customHeight="1" thickBot="1">
      <c r="B73" s="1170"/>
      <c r="C73" s="1175" t="s">
        <v>451</v>
      </c>
      <c r="D73" s="1176" t="s">
        <v>1060</v>
      </c>
      <c r="E73" s="1176" t="s">
        <v>793</v>
      </c>
      <c r="F73" s="1176" t="s">
        <v>794</v>
      </c>
      <c r="G73" s="1177" t="s">
        <v>795</v>
      </c>
      <c r="I73" s="1023"/>
    </row>
    <row r="74" spans="2:9" ht="15.75" customHeight="1" thickBot="1">
      <c r="B74" s="1170"/>
      <c r="C74" s="1192">
        <v>0.2</v>
      </c>
      <c r="D74" s="1193">
        <v>0.3</v>
      </c>
      <c r="E74" s="1193">
        <v>0.4</v>
      </c>
      <c r="F74" s="1193">
        <v>0.3</v>
      </c>
      <c r="G74" s="1194">
        <v>0.2</v>
      </c>
      <c r="I74" s="1023"/>
    </row>
    <row r="75" spans="2:9" ht="15.75" customHeight="1">
      <c r="B75" s="1170"/>
      <c r="I75" s="1023"/>
    </row>
    <row r="76" spans="2:9" ht="15.75" customHeight="1" thickBot="1">
      <c r="B76" s="1170"/>
      <c r="I76" s="1023"/>
    </row>
    <row r="77" spans="2:9" ht="15.75" customHeight="1" thickBot="1">
      <c r="B77" s="1170"/>
      <c r="C77" s="1859" t="s">
        <v>177</v>
      </c>
      <c r="D77" s="1860"/>
      <c r="E77" s="1860"/>
      <c r="F77" s="1860"/>
      <c r="G77" s="1860"/>
      <c r="H77" s="1861"/>
      <c r="I77" s="1172"/>
    </row>
    <row r="78" spans="2:9" ht="15.75" customHeight="1" thickBot="1">
      <c r="B78" s="1170"/>
      <c r="C78" s="1178" t="s">
        <v>1066</v>
      </c>
      <c r="D78" s="1175" t="s">
        <v>451</v>
      </c>
      <c r="E78" s="1176" t="s">
        <v>1060</v>
      </c>
      <c r="F78" s="1176" t="s">
        <v>793</v>
      </c>
      <c r="G78" s="1176" t="s">
        <v>794</v>
      </c>
      <c r="H78" s="1177" t="s">
        <v>795</v>
      </c>
      <c r="I78" s="1173"/>
    </row>
    <row r="79" spans="2:9" ht="15.75" customHeight="1" thickBot="1">
      <c r="B79" s="1170"/>
      <c r="C79" s="1178" t="s">
        <v>1061</v>
      </c>
      <c r="D79" s="1190">
        <f>D69*C74</f>
        <v>0</v>
      </c>
      <c r="E79" s="1190">
        <f>E69*D74</f>
        <v>0</v>
      </c>
      <c r="F79" s="1190">
        <f>F69*E74</f>
        <v>0</v>
      </c>
      <c r="G79" s="1190">
        <f>G69*F74</f>
        <v>0</v>
      </c>
      <c r="H79" s="1166">
        <f>H69*G74</f>
        <v>0</v>
      </c>
      <c r="I79" s="1173"/>
    </row>
    <row r="80" spans="2:9" ht="15.75" customHeight="1">
      <c r="B80" s="1170"/>
      <c r="C80" s="1056"/>
      <c r="D80" s="1056"/>
      <c r="E80" s="1056"/>
      <c r="F80" s="1056"/>
      <c r="G80" s="1056"/>
      <c r="H80" s="1056"/>
      <c r="I80" s="1173"/>
    </row>
    <row r="81" spans="2:9" ht="15.75" customHeight="1" thickBot="1">
      <c r="B81" s="1195"/>
      <c r="C81" s="1196"/>
      <c r="D81" s="1196"/>
      <c r="E81" s="1196"/>
      <c r="F81" s="1196"/>
      <c r="G81" s="1196"/>
      <c r="H81" s="1196"/>
      <c r="I81" s="1197"/>
    </row>
  </sheetData>
  <mergeCells count="10">
    <mergeCell ref="C55:H55"/>
    <mergeCell ref="C67:H67"/>
    <mergeCell ref="C72:G72"/>
    <mergeCell ref="C77:H77"/>
    <mergeCell ref="A20:F20"/>
    <mergeCell ref="I20:N20"/>
    <mergeCell ref="G22:G23"/>
    <mergeCell ref="A33:E33"/>
    <mergeCell ref="D41:E41"/>
    <mergeCell ref="F41:K41"/>
  </mergeCells>
  <conditionalFormatting sqref="C1:C4 A1:B19 D1:I19 K1:Z19 C6:C19 J14:J19 G20:H22 O20:Z26 H23 G24:H26 A27:I32 J27:Z40 F33:I40 F41 L41:Z41 F42:I44 J42:Z1000 A45:I52 A53:A81 A82:I1000">
    <cfRule type="containsText" dxfId="9" priority="2" operator="containsText" text="999">
      <formula>NOT(ISERROR(SEARCH(("999"),(A1))))</formula>
    </cfRule>
  </conditionalFormatting>
  <conditionalFormatting sqref="C71:I71 H72:I74 C75:I76 I77">
    <cfRule type="containsText" dxfId="8" priority="1" operator="containsText" text="999">
      <formula>NOT(ISERROR(SEARCH(("999"),(C71))))</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3C55-5192-4DDA-9249-B623E5521DC4}">
  <sheetPr>
    <outlinePr summaryBelow="0" summaryRight="0"/>
  </sheetPr>
  <dimension ref="A1:AB100"/>
  <sheetViews>
    <sheetView topLeftCell="A39" zoomScaleNormal="100" workbookViewId="0">
      <selection activeCell="E96" sqref="E96"/>
    </sheetView>
  </sheetViews>
  <sheetFormatPr defaultColWidth="14.42578125" defaultRowHeight="15" customHeight="1"/>
  <cols>
    <col min="1" max="1" width="14.42578125" style="384"/>
    <col min="2" max="2" width="37" style="384" customWidth="1"/>
    <col min="3" max="3" width="18.7109375" style="384" bestFit="1" customWidth="1"/>
    <col min="4" max="4" width="18.140625" style="384" customWidth="1"/>
    <col min="5" max="5" width="18.7109375" style="384" bestFit="1" customWidth="1"/>
    <col min="6" max="6" width="22.85546875" style="384" customWidth="1"/>
    <col min="7" max="7" width="19.8554687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16384" width="14.42578125" style="384"/>
  </cols>
  <sheetData>
    <row r="1" spans="1:28">
      <c r="A1" s="448"/>
      <c r="G1" s="1220" t="s">
        <v>1172</v>
      </c>
      <c r="H1" s="1220"/>
      <c r="I1" s="1219" t="s">
        <v>1173</v>
      </c>
    </row>
    <row r="2" spans="1:28" ht="15" customHeight="1">
      <c r="B2" s="1726" t="s">
        <v>628</v>
      </c>
      <c r="C2" s="1726"/>
      <c r="G2" s="1221">
        <f>(G11+G12+G13+G14+G15+G16)*12</f>
        <v>1588467750</v>
      </c>
      <c r="H2" s="1220"/>
    </row>
    <row r="3" spans="1:28" ht="15" customHeight="1">
      <c r="B3" s="1726"/>
      <c r="C3" s="1726"/>
      <c r="Q3" s="449" t="s">
        <v>629</v>
      </c>
      <c r="R3" s="449">
        <v>130000</v>
      </c>
      <c r="S3" s="384" t="s">
        <v>630</v>
      </c>
    </row>
    <row r="4" spans="1:28" ht="15" customHeight="1">
      <c r="B4" s="1726"/>
      <c r="C4" s="1726"/>
      <c r="Q4" s="449" t="s">
        <v>631</v>
      </c>
      <c r="R4" s="450">
        <v>9000</v>
      </c>
    </row>
    <row r="5" spans="1:28"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row>
    <row r="6" spans="1:28"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row>
    <row r="7" spans="1:28" ht="15" customHeight="1">
      <c r="B7" s="458" t="s">
        <v>1170</v>
      </c>
      <c r="C7" s="1045">
        <f>199000*0.65</f>
        <v>129350</v>
      </c>
      <c r="D7" s="452"/>
      <c r="E7" s="1048">
        <f>$C$7/12</f>
        <v>10779.166666666666</v>
      </c>
      <c r="F7" s="1048">
        <f t="shared" ref="F7:AB7" si="0">$C$7/12</f>
        <v>10779.166666666666</v>
      </c>
      <c r="G7" s="1048">
        <f t="shared" si="0"/>
        <v>10779.166666666666</v>
      </c>
      <c r="H7" s="1048">
        <f t="shared" si="0"/>
        <v>10779.166666666666</v>
      </c>
      <c r="I7" s="1048">
        <f t="shared" si="0"/>
        <v>10779.166666666666</v>
      </c>
      <c r="J7" s="1048">
        <f t="shared" si="0"/>
        <v>10779.166666666666</v>
      </c>
      <c r="K7" s="1048">
        <f t="shared" si="0"/>
        <v>10779.166666666666</v>
      </c>
      <c r="L7" s="1048">
        <f t="shared" si="0"/>
        <v>10779.166666666666</v>
      </c>
      <c r="M7" s="1048">
        <f t="shared" si="0"/>
        <v>10779.166666666666</v>
      </c>
      <c r="N7" s="1048">
        <f t="shared" si="0"/>
        <v>10779.166666666666</v>
      </c>
      <c r="O7" s="1048">
        <f t="shared" si="0"/>
        <v>10779.166666666666</v>
      </c>
      <c r="P7" s="1048">
        <f t="shared" si="0"/>
        <v>10779.166666666666</v>
      </c>
      <c r="Q7" s="1048">
        <f t="shared" si="0"/>
        <v>10779.166666666666</v>
      </c>
      <c r="R7" s="1048">
        <f t="shared" si="0"/>
        <v>10779.166666666666</v>
      </c>
      <c r="S7" s="1048">
        <f t="shared" si="0"/>
        <v>10779.166666666666</v>
      </c>
      <c r="T7" s="1048">
        <f t="shared" si="0"/>
        <v>10779.166666666666</v>
      </c>
      <c r="U7" s="1048">
        <f t="shared" si="0"/>
        <v>10779.166666666666</v>
      </c>
      <c r="V7" s="1048">
        <f t="shared" si="0"/>
        <v>10779.166666666666</v>
      </c>
      <c r="W7" s="1048">
        <f t="shared" si="0"/>
        <v>10779.166666666666</v>
      </c>
      <c r="X7" s="1048">
        <f t="shared" si="0"/>
        <v>10779.166666666666</v>
      </c>
      <c r="Y7" s="1048">
        <f t="shared" si="0"/>
        <v>10779.166666666666</v>
      </c>
      <c r="Z7" s="1048">
        <f t="shared" si="0"/>
        <v>10779.166666666666</v>
      </c>
      <c r="AA7" s="1048">
        <f t="shared" si="0"/>
        <v>10779.166666666666</v>
      </c>
      <c r="AB7" s="1048">
        <f t="shared" si="0"/>
        <v>10779.166666666666</v>
      </c>
    </row>
    <row r="8" spans="1:28" ht="15" customHeight="1">
      <c r="B8" s="458" t="s">
        <v>1171</v>
      </c>
      <c r="C8" s="1045">
        <f>199000*0.35</f>
        <v>69650</v>
      </c>
      <c r="D8" s="452"/>
      <c r="E8" s="1048">
        <f>$C$8/12</f>
        <v>5804.166666666667</v>
      </c>
      <c r="F8" s="1048">
        <f t="shared" ref="F8:AB8" si="1">$C$8/12</f>
        <v>5804.166666666667</v>
      </c>
      <c r="G8" s="1048">
        <f t="shared" si="1"/>
        <v>5804.166666666667</v>
      </c>
      <c r="H8" s="1048">
        <f t="shared" si="1"/>
        <v>5804.166666666667</v>
      </c>
      <c r="I8" s="1048">
        <f t="shared" si="1"/>
        <v>5804.166666666667</v>
      </c>
      <c r="J8" s="1048">
        <f t="shared" si="1"/>
        <v>5804.166666666667</v>
      </c>
      <c r="K8" s="1048">
        <f t="shared" si="1"/>
        <v>5804.166666666667</v>
      </c>
      <c r="L8" s="1048">
        <f t="shared" si="1"/>
        <v>5804.166666666667</v>
      </c>
      <c r="M8" s="1048">
        <f t="shared" si="1"/>
        <v>5804.166666666667</v>
      </c>
      <c r="N8" s="1048">
        <f t="shared" si="1"/>
        <v>5804.166666666667</v>
      </c>
      <c r="O8" s="1048">
        <f t="shared" si="1"/>
        <v>5804.166666666667</v>
      </c>
      <c r="P8" s="1048">
        <f t="shared" si="1"/>
        <v>5804.166666666667</v>
      </c>
      <c r="Q8" s="1048">
        <f t="shared" si="1"/>
        <v>5804.166666666667</v>
      </c>
      <c r="R8" s="1048">
        <f t="shared" si="1"/>
        <v>5804.166666666667</v>
      </c>
      <c r="S8" s="1048">
        <f t="shared" si="1"/>
        <v>5804.166666666667</v>
      </c>
      <c r="T8" s="1048">
        <f t="shared" si="1"/>
        <v>5804.166666666667</v>
      </c>
      <c r="U8" s="1048">
        <f t="shared" si="1"/>
        <v>5804.166666666667</v>
      </c>
      <c r="V8" s="1048">
        <f t="shared" si="1"/>
        <v>5804.166666666667</v>
      </c>
      <c r="W8" s="1048">
        <f t="shared" si="1"/>
        <v>5804.166666666667</v>
      </c>
      <c r="X8" s="1048">
        <f t="shared" si="1"/>
        <v>5804.166666666667</v>
      </c>
      <c r="Y8" s="1048">
        <f t="shared" si="1"/>
        <v>5804.166666666667</v>
      </c>
      <c r="Z8" s="1048">
        <f t="shared" si="1"/>
        <v>5804.166666666667</v>
      </c>
      <c r="AA8" s="1048">
        <f t="shared" si="1"/>
        <v>5804.166666666667</v>
      </c>
      <c r="AB8" s="1048">
        <f t="shared" si="1"/>
        <v>5804.166666666667</v>
      </c>
    </row>
    <row r="9" spans="1:28" ht="15" customHeight="1">
      <c r="B9" s="460" t="s">
        <v>1162</v>
      </c>
      <c r="C9" s="450">
        <f>8700*0.9</f>
        <v>7830</v>
      </c>
      <c r="D9" s="452"/>
      <c r="E9" s="452"/>
      <c r="F9" s="452"/>
      <c r="G9" s="452"/>
      <c r="H9" s="452"/>
      <c r="Q9" s="452"/>
      <c r="R9" s="452"/>
      <c r="S9" s="452"/>
      <c r="T9" s="452"/>
    </row>
    <row r="10" spans="1:28" ht="15" customHeight="1">
      <c r="B10" s="460" t="s">
        <v>1163</v>
      </c>
      <c r="C10" s="450">
        <f>8700*0.95</f>
        <v>8265</v>
      </c>
      <c r="D10" s="452"/>
      <c r="E10" s="452"/>
      <c r="F10" s="452"/>
      <c r="G10" s="452"/>
      <c r="H10" s="452"/>
      <c r="Q10" s="452"/>
      <c r="R10" s="452"/>
      <c r="S10" s="452"/>
      <c r="T10" s="452"/>
    </row>
    <row r="11" spans="1:28" ht="15" customHeight="1">
      <c r="B11" s="461" t="s">
        <v>1164</v>
      </c>
      <c r="C11" s="462">
        <v>0.1</v>
      </c>
      <c r="D11" s="452"/>
      <c r="E11" s="463">
        <f>$C$11*$C$9*E7</f>
        <v>8440087.5</v>
      </c>
      <c r="F11" s="463">
        <f t="shared" ref="F11:AB11" si="2">$C$11*$C$9*F7</f>
        <v>8440087.5</v>
      </c>
      <c r="G11" s="1218">
        <f t="shared" si="2"/>
        <v>8440087.5</v>
      </c>
      <c r="H11" s="463">
        <f t="shared" si="2"/>
        <v>8440087.5</v>
      </c>
      <c r="I11" s="463">
        <f t="shared" si="2"/>
        <v>8440087.5</v>
      </c>
      <c r="J11" s="463">
        <f t="shared" si="2"/>
        <v>8440087.5</v>
      </c>
      <c r="K11" s="463">
        <f t="shared" si="2"/>
        <v>8440087.5</v>
      </c>
      <c r="L11" s="463">
        <f t="shared" si="2"/>
        <v>8440087.5</v>
      </c>
      <c r="M11" s="463">
        <f t="shared" si="2"/>
        <v>8440087.5</v>
      </c>
      <c r="N11" s="463">
        <f t="shared" si="2"/>
        <v>8440087.5</v>
      </c>
      <c r="O11" s="463">
        <f t="shared" si="2"/>
        <v>8440087.5</v>
      </c>
      <c r="P11" s="463">
        <f t="shared" si="2"/>
        <v>8440087.5</v>
      </c>
      <c r="Q11" s="463">
        <f t="shared" si="2"/>
        <v>8440087.5</v>
      </c>
      <c r="R11" s="463">
        <f t="shared" si="2"/>
        <v>8440087.5</v>
      </c>
      <c r="S11" s="463">
        <f t="shared" si="2"/>
        <v>8440087.5</v>
      </c>
      <c r="T11" s="463">
        <f t="shared" si="2"/>
        <v>8440087.5</v>
      </c>
      <c r="U11" s="463">
        <f t="shared" si="2"/>
        <v>8440087.5</v>
      </c>
      <c r="V11" s="463">
        <f t="shared" si="2"/>
        <v>8440087.5</v>
      </c>
      <c r="W11" s="463">
        <f t="shared" si="2"/>
        <v>8440087.5</v>
      </c>
      <c r="X11" s="463">
        <f t="shared" si="2"/>
        <v>8440087.5</v>
      </c>
      <c r="Y11" s="463">
        <f t="shared" si="2"/>
        <v>8440087.5</v>
      </c>
      <c r="Z11" s="463">
        <f t="shared" si="2"/>
        <v>8440087.5</v>
      </c>
      <c r="AA11" s="463">
        <f t="shared" si="2"/>
        <v>8440087.5</v>
      </c>
      <c r="AB11" s="463">
        <f t="shared" si="2"/>
        <v>8440087.5</v>
      </c>
    </row>
    <row r="12" spans="1:28" ht="15" customHeight="1">
      <c r="B12" s="461" t="s">
        <v>1165</v>
      </c>
      <c r="C12" s="462">
        <v>0.2</v>
      </c>
      <c r="D12" s="452"/>
      <c r="E12" s="463"/>
      <c r="F12" s="463">
        <f>$C$12*$C$9*F7</f>
        <v>16880175</v>
      </c>
      <c r="G12" s="1218">
        <f t="shared" ref="G12:AB12" si="3">$C$12*$C$9*G7</f>
        <v>16880175</v>
      </c>
      <c r="H12" s="463">
        <f t="shared" si="3"/>
        <v>16880175</v>
      </c>
      <c r="I12" s="463">
        <f t="shared" si="3"/>
        <v>16880175</v>
      </c>
      <c r="J12" s="463">
        <f t="shared" si="3"/>
        <v>16880175</v>
      </c>
      <c r="K12" s="463">
        <f t="shared" si="3"/>
        <v>16880175</v>
      </c>
      <c r="L12" s="463">
        <f t="shared" si="3"/>
        <v>16880175</v>
      </c>
      <c r="M12" s="463">
        <f t="shared" si="3"/>
        <v>16880175</v>
      </c>
      <c r="N12" s="463">
        <f t="shared" si="3"/>
        <v>16880175</v>
      </c>
      <c r="O12" s="463">
        <f t="shared" si="3"/>
        <v>16880175</v>
      </c>
      <c r="P12" s="463">
        <f t="shared" si="3"/>
        <v>16880175</v>
      </c>
      <c r="Q12" s="463">
        <f t="shared" si="3"/>
        <v>16880175</v>
      </c>
      <c r="R12" s="463">
        <f t="shared" si="3"/>
        <v>16880175</v>
      </c>
      <c r="S12" s="463">
        <f t="shared" si="3"/>
        <v>16880175</v>
      </c>
      <c r="T12" s="463">
        <f t="shared" si="3"/>
        <v>16880175</v>
      </c>
      <c r="U12" s="463">
        <f t="shared" si="3"/>
        <v>16880175</v>
      </c>
      <c r="V12" s="463">
        <f t="shared" si="3"/>
        <v>16880175</v>
      </c>
      <c r="W12" s="463">
        <f t="shared" si="3"/>
        <v>16880175</v>
      </c>
      <c r="X12" s="463">
        <f t="shared" si="3"/>
        <v>16880175</v>
      </c>
      <c r="Y12" s="463">
        <f t="shared" si="3"/>
        <v>16880175</v>
      </c>
      <c r="Z12" s="463">
        <f t="shared" si="3"/>
        <v>16880175</v>
      </c>
      <c r="AA12" s="463">
        <f t="shared" si="3"/>
        <v>16880175</v>
      </c>
      <c r="AB12" s="463">
        <f t="shared" si="3"/>
        <v>16880175</v>
      </c>
    </row>
    <row r="13" spans="1:28" ht="15" customHeight="1">
      <c r="B13" s="461" t="s">
        <v>1166</v>
      </c>
      <c r="C13" s="462">
        <v>0.7</v>
      </c>
      <c r="D13" s="452"/>
      <c r="E13" s="463"/>
      <c r="F13" s="463"/>
      <c r="G13" s="1218">
        <f>$C$13*$C$9*G7</f>
        <v>59080612.5</v>
      </c>
      <c r="H13" s="463">
        <f t="shared" ref="H13:AB13" si="4">$C$13*$C$9*H7</f>
        <v>59080612.5</v>
      </c>
      <c r="I13" s="463">
        <f t="shared" si="4"/>
        <v>59080612.5</v>
      </c>
      <c r="J13" s="463">
        <f t="shared" si="4"/>
        <v>59080612.5</v>
      </c>
      <c r="K13" s="463">
        <f t="shared" si="4"/>
        <v>59080612.5</v>
      </c>
      <c r="L13" s="463">
        <f t="shared" si="4"/>
        <v>59080612.5</v>
      </c>
      <c r="M13" s="463">
        <f t="shared" si="4"/>
        <v>59080612.5</v>
      </c>
      <c r="N13" s="463">
        <f t="shared" si="4"/>
        <v>59080612.5</v>
      </c>
      <c r="O13" s="463">
        <f t="shared" si="4"/>
        <v>59080612.5</v>
      </c>
      <c r="P13" s="463">
        <f t="shared" si="4"/>
        <v>59080612.5</v>
      </c>
      <c r="Q13" s="463">
        <f t="shared" si="4"/>
        <v>59080612.5</v>
      </c>
      <c r="R13" s="463">
        <f t="shared" si="4"/>
        <v>59080612.5</v>
      </c>
      <c r="S13" s="463">
        <f t="shared" si="4"/>
        <v>59080612.5</v>
      </c>
      <c r="T13" s="463">
        <f t="shared" si="4"/>
        <v>59080612.5</v>
      </c>
      <c r="U13" s="463">
        <f t="shared" si="4"/>
        <v>59080612.5</v>
      </c>
      <c r="V13" s="463">
        <f t="shared" si="4"/>
        <v>59080612.5</v>
      </c>
      <c r="W13" s="463">
        <f t="shared" si="4"/>
        <v>59080612.5</v>
      </c>
      <c r="X13" s="463">
        <f t="shared" si="4"/>
        <v>59080612.5</v>
      </c>
      <c r="Y13" s="463">
        <f t="shared" si="4"/>
        <v>59080612.5</v>
      </c>
      <c r="Z13" s="463">
        <f t="shared" si="4"/>
        <v>59080612.5</v>
      </c>
      <c r="AA13" s="463">
        <f t="shared" si="4"/>
        <v>59080612.5</v>
      </c>
      <c r="AB13" s="463">
        <f t="shared" si="4"/>
        <v>59080612.5</v>
      </c>
    </row>
    <row r="14" spans="1:28" ht="15" customHeight="1">
      <c r="B14" s="461" t="s">
        <v>1167</v>
      </c>
      <c r="C14" s="462">
        <v>0.1</v>
      </c>
      <c r="D14" s="452"/>
      <c r="E14" s="463">
        <f>$C$14*$C$10*E8</f>
        <v>4797143.75</v>
      </c>
      <c r="F14" s="463">
        <f t="shared" ref="F14:AB14" si="5">$C$14*$C$10*F8</f>
        <v>4797143.75</v>
      </c>
      <c r="G14" s="1218">
        <f t="shared" si="5"/>
        <v>4797143.75</v>
      </c>
      <c r="H14" s="463">
        <f t="shared" si="5"/>
        <v>4797143.75</v>
      </c>
      <c r="I14" s="463">
        <f t="shared" si="5"/>
        <v>4797143.75</v>
      </c>
      <c r="J14" s="463">
        <f t="shared" si="5"/>
        <v>4797143.75</v>
      </c>
      <c r="K14" s="463">
        <f t="shared" si="5"/>
        <v>4797143.75</v>
      </c>
      <c r="L14" s="463">
        <f t="shared" si="5"/>
        <v>4797143.75</v>
      </c>
      <c r="M14" s="463">
        <f t="shared" si="5"/>
        <v>4797143.75</v>
      </c>
      <c r="N14" s="463">
        <f t="shared" si="5"/>
        <v>4797143.75</v>
      </c>
      <c r="O14" s="463">
        <f t="shared" si="5"/>
        <v>4797143.75</v>
      </c>
      <c r="P14" s="463">
        <f t="shared" si="5"/>
        <v>4797143.75</v>
      </c>
      <c r="Q14" s="463">
        <f t="shared" si="5"/>
        <v>4797143.75</v>
      </c>
      <c r="R14" s="463">
        <f t="shared" si="5"/>
        <v>4797143.75</v>
      </c>
      <c r="S14" s="463">
        <f t="shared" si="5"/>
        <v>4797143.75</v>
      </c>
      <c r="T14" s="463">
        <f t="shared" si="5"/>
        <v>4797143.75</v>
      </c>
      <c r="U14" s="463">
        <f t="shared" si="5"/>
        <v>4797143.75</v>
      </c>
      <c r="V14" s="463">
        <f t="shared" si="5"/>
        <v>4797143.75</v>
      </c>
      <c r="W14" s="463">
        <f t="shared" si="5"/>
        <v>4797143.75</v>
      </c>
      <c r="X14" s="463">
        <f t="shared" si="5"/>
        <v>4797143.75</v>
      </c>
      <c r="Y14" s="463">
        <f t="shared" si="5"/>
        <v>4797143.75</v>
      </c>
      <c r="Z14" s="463">
        <f t="shared" si="5"/>
        <v>4797143.75</v>
      </c>
      <c r="AA14" s="463">
        <f t="shared" si="5"/>
        <v>4797143.75</v>
      </c>
      <c r="AB14" s="463">
        <f t="shared" si="5"/>
        <v>4797143.75</v>
      </c>
    </row>
    <row r="15" spans="1:28" ht="15" customHeight="1">
      <c r="B15" s="461" t="s">
        <v>1168</v>
      </c>
      <c r="C15" s="462">
        <v>0.2</v>
      </c>
      <c r="D15" s="452"/>
      <c r="E15" s="463"/>
      <c r="F15" s="463">
        <f>$C$15*$C$10*F8</f>
        <v>9594287.5</v>
      </c>
      <c r="G15" s="1218">
        <f t="shared" ref="G15:AB15" si="6">$C$15*$C$10*G8</f>
        <v>9594287.5</v>
      </c>
      <c r="H15" s="463">
        <f t="shared" si="6"/>
        <v>9594287.5</v>
      </c>
      <c r="I15" s="463">
        <f t="shared" si="6"/>
        <v>9594287.5</v>
      </c>
      <c r="J15" s="463">
        <f t="shared" si="6"/>
        <v>9594287.5</v>
      </c>
      <c r="K15" s="463">
        <f t="shared" si="6"/>
        <v>9594287.5</v>
      </c>
      <c r="L15" s="463">
        <f t="shared" si="6"/>
        <v>9594287.5</v>
      </c>
      <c r="M15" s="463">
        <f t="shared" si="6"/>
        <v>9594287.5</v>
      </c>
      <c r="N15" s="463">
        <f t="shared" si="6"/>
        <v>9594287.5</v>
      </c>
      <c r="O15" s="463">
        <f t="shared" si="6"/>
        <v>9594287.5</v>
      </c>
      <c r="P15" s="463">
        <f t="shared" si="6"/>
        <v>9594287.5</v>
      </c>
      <c r="Q15" s="463">
        <f t="shared" si="6"/>
        <v>9594287.5</v>
      </c>
      <c r="R15" s="463">
        <f t="shared" si="6"/>
        <v>9594287.5</v>
      </c>
      <c r="S15" s="463">
        <f t="shared" si="6"/>
        <v>9594287.5</v>
      </c>
      <c r="T15" s="463">
        <f t="shared" si="6"/>
        <v>9594287.5</v>
      </c>
      <c r="U15" s="463">
        <f t="shared" si="6"/>
        <v>9594287.5</v>
      </c>
      <c r="V15" s="463">
        <f t="shared" si="6"/>
        <v>9594287.5</v>
      </c>
      <c r="W15" s="463">
        <f t="shared" si="6"/>
        <v>9594287.5</v>
      </c>
      <c r="X15" s="463">
        <f t="shared" si="6"/>
        <v>9594287.5</v>
      </c>
      <c r="Y15" s="463">
        <f t="shared" si="6"/>
        <v>9594287.5</v>
      </c>
      <c r="Z15" s="463">
        <f t="shared" si="6"/>
        <v>9594287.5</v>
      </c>
      <c r="AA15" s="463">
        <f t="shared" si="6"/>
        <v>9594287.5</v>
      </c>
      <c r="AB15" s="463">
        <f t="shared" si="6"/>
        <v>9594287.5</v>
      </c>
    </row>
    <row r="16" spans="1:28" ht="15" customHeight="1">
      <c r="B16" s="461" t="s">
        <v>1169</v>
      </c>
      <c r="C16" s="462">
        <v>0.7</v>
      </c>
      <c r="D16" s="452"/>
      <c r="E16" s="463"/>
      <c r="F16" s="463"/>
      <c r="G16" s="1218">
        <f>$C$16*$C$10*G8</f>
        <v>33580006.25</v>
      </c>
      <c r="H16" s="463">
        <f t="shared" ref="H16:AB16" si="7">$C$16*$C$10*H8</f>
        <v>33580006.25</v>
      </c>
      <c r="I16" s="463">
        <f t="shared" si="7"/>
        <v>33580006.25</v>
      </c>
      <c r="J16" s="463">
        <f t="shared" si="7"/>
        <v>33580006.25</v>
      </c>
      <c r="K16" s="463">
        <f t="shared" si="7"/>
        <v>33580006.25</v>
      </c>
      <c r="L16" s="463">
        <f t="shared" si="7"/>
        <v>33580006.25</v>
      </c>
      <c r="M16" s="463">
        <f t="shared" si="7"/>
        <v>33580006.25</v>
      </c>
      <c r="N16" s="463">
        <f t="shared" si="7"/>
        <v>33580006.25</v>
      </c>
      <c r="O16" s="463">
        <f t="shared" si="7"/>
        <v>33580006.25</v>
      </c>
      <c r="P16" s="463">
        <f t="shared" si="7"/>
        <v>33580006.25</v>
      </c>
      <c r="Q16" s="463">
        <f t="shared" si="7"/>
        <v>33580006.25</v>
      </c>
      <c r="R16" s="463">
        <f t="shared" si="7"/>
        <v>33580006.25</v>
      </c>
      <c r="S16" s="463">
        <f t="shared" si="7"/>
        <v>33580006.25</v>
      </c>
      <c r="T16" s="463">
        <f t="shared" si="7"/>
        <v>33580006.25</v>
      </c>
      <c r="U16" s="463">
        <f t="shared" si="7"/>
        <v>33580006.25</v>
      </c>
      <c r="V16" s="463">
        <f t="shared" si="7"/>
        <v>33580006.25</v>
      </c>
      <c r="W16" s="463">
        <f t="shared" si="7"/>
        <v>33580006.25</v>
      </c>
      <c r="X16" s="463">
        <f t="shared" si="7"/>
        <v>33580006.25</v>
      </c>
      <c r="Y16" s="463">
        <f t="shared" si="7"/>
        <v>33580006.25</v>
      </c>
      <c r="Z16" s="463">
        <f t="shared" si="7"/>
        <v>33580006.25</v>
      </c>
      <c r="AA16" s="463">
        <f t="shared" si="7"/>
        <v>33580006.25</v>
      </c>
      <c r="AB16" s="463">
        <f t="shared" si="7"/>
        <v>33580006.25</v>
      </c>
    </row>
    <row r="17" spans="2:28" ht="15" customHeight="1">
      <c r="B17" s="464" t="s">
        <v>638</v>
      </c>
      <c r="C17" s="465">
        <v>0</v>
      </c>
      <c r="D17" s="466"/>
      <c r="E17" s="467"/>
      <c r="F17" s="467"/>
      <c r="G17" s="467"/>
      <c r="H17" s="467">
        <f t="shared" ref="H17:P17" si="8">$C$17*$C$9*H7</f>
        <v>0</v>
      </c>
      <c r="I17" s="467">
        <f t="shared" si="8"/>
        <v>0</v>
      </c>
      <c r="J17" s="467">
        <f t="shared" si="8"/>
        <v>0</v>
      </c>
      <c r="K17" s="467">
        <f t="shared" si="8"/>
        <v>0</v>
      </c>
      <c r="L17" s="467">
        <f t="shared" si="8"/>
        <v>0</v>
      </c>
      <c r="M17" s="467">
        <f t="shared" si="8"/>
        <v>0</v>
      </c>
      <c r="N17" s="467">
        <f t="shared" si="8"/>
        <v>0</v>
      </c>
      <c r="O17" s="467">
        <f t="shared" si="8"/>
        <v>0</v>
      </c>
      <c r="P17" s="467">
        <f t="shared" si="8"/>
        <v>0</v>
      </c>
      <c r="Q17" s="467">
        <f>$C$17*R4*Q7</f>
        <v>0</v>
      </c>
      <c r="R17" s="467">
        <f>$C$17*R4*R7</f>
        <v>0</v>
      </c>
      <c r="S17" s="467">
        <f>$C$17*R4*S7</f>
        <v>0</v>
      </c>
      <c r="T17" s="467">
        <f>$C$17*R4*T7</f>
        <v>0</v>
      </c>
      <c r="U17" s="467">
        <f>$C$17*R4*U7</f>
        <v>0</v>
      </c>
      <c r="V17" s="467">
        <f>$C$17*R4*V7</f>
        <v>0</v>
      </c>
      <c r="W17" s="467">
        <f>$C$17*R4*W7</f>
        <v>0</v>
      </c>
      <c r="X17" s="467">
        <f>$C$17*R4*X7</f>
        <v>0</v>
      </c>
      <c r="Y17" s="467">
        <f>$C$17*R4*Y7</f>
        <v>0</v>
      </c>
      <c r="Z17" s="467">
        <f>$C$17*R4*Z7</f>
        <v>0</v>
      </c>
      <c r="AA17" s="467">
        <f>$C$17*R4*AA7</f>
        <v>0</v>
      </c>
      <c r="AB17" s="467">
        <f>$C$17*R4*AB7</f>
        <v>0</v>
      </c>
    </row>
    <row r="18" spans="2:28" ht="15" customHeight="1">
      <c r="B18" s="461"/>
      <c r="C18" s="468">
        <f>SUM(C14:C17)</f>
        <v>1</v>
      </c>
      <c r="D18" s="452"/>
      <c r="E18" s="463">
        <f>SUM(E9:E17)</f>
        <v>13237231.25</v>
      </c>
      <c r="F18" s="463">
        <f t="shared" ref="F18:AB18" si="9">SUM(F9:F17)</f>
        <v>39711693.75</v>
      </c>
      <c r="G18" s="463">
        <f t="shared" si="9"/>
        <v>132372312.5</v>
      </c>
      <c r="H18" s="463">
        <f t="shared" si="9"/>
        <v>132372312.5</v>
      </c>
      <c r="I18" s="463">
        <f t="shared" si="9"/>
        <v>132372312.5</v>
      </c>
      <c r="J18" s="463">
        <f t="shared" si="9"/>
        <v>132372312.5</v>
      </c>
      <c r="K18" s="463">
        <f t="shared" si="9"/>
        <v>132372312.5</v>
      </c>
      <c r="L18" s="463">
        <f t="shared" si="9"/>
        <v>132372312.5</v>
      </c>
      <c r="M18" s="463">
        <f t="shared" si="9"/>
        <v>132372312.5</v>
      </c>
      <c r="N18" s="463">
        <f t="shared" si="9"/>
        <v>132372312.5</v>
      </c>
      <c r="O18" s="463">
        <f t="shared" si="9"/>
        <v>132372312.5</v>
      </c>
      <c r="P18" s="463">
        <f t="shared" si="9"/>
        <v>132372312.5</v>
      </c>
      <c r="Q18" s="463">
        <f t="shared" si="9"/>
        <v>132372312.5</v>
      </c>
      <c r="R18" s="463">
        <f t="shared" si="9"/>
        <v>132372312.5</v>
      </c>
      <c r="S18" s="463">
        <f t="shared" si="9"/>
        <v>132372312.5</v>
      </c>
      <c r="T18" s="463">
        <f t="shared" si="9"/>
        <v>132372312.5</v>
      </c>
      <c r="U18" s="463">
        <f t="shared" si="9"/>
        <v>132372312.5</v>
      </c>
      <c r="V18" s="463">
        <f t="shared" si="9"/>
        <v>132372312.5</v>
      </c>
      <c r="W18" s="463">
        <f t="shared" si="9"/>
        <v>132372312.5</v>
      </c>
      <c r="X18" s="463">
        <f t="shared" si="9"/>
        <v>132372312.5</v>
      </c>
      <c r="Y18" s="463">
        <f t="shared" si="9"/>
        <v>132372312.5</v>
      </c>
      <c r="Z18" s="463">
        <f t="shared" si="9"/>
        <v>132372312.5</v>
      </c>
      <c r="AA18" s="463">
        <f t="shared" si="9"/>
        <v>132372312.5</v>
      </c>
      <c r="AB18" s="463">
        <f t="shared" si="9"/>
        <v>132372312.5</v>
      </c>
    </row>
    <row r="19" spans="2:28" ht="15" customHeight="1">
      <c r="B19" s="453" t="s">
        <v>639</v>
      </c>
      <c r="C19" s="452"/>
      <c r="D19" s="452"/>
      <c r="E19" s="452"/>
      <c r="F19" s="452"/>
      <c r="G19" s="452"/>
      <c r="H19" s="452"/>
      <c r="J19" s="469"/>
      <c r="K19" s="469"/>
      <c r="L19" s="469"/>
      <c r="M19" s="469"/>
      <c r="N19" s="469"/>
      <c r="Q19" s="452"/>
      <c r="R19" s="452"/>
      <c r="S19" s="452"/>
      <c r="T19" s="452"/>
      <c r="V19" s="469"/>
      <c r="W19" s="469"/>
      <c r="X19" s="469"/>
      <c r="Y19" s="469"/>
      <c r="Z19" s="469"/>
    </row>
    <row r="20" spans="2:28" ht="15" customHeight="1">
      <c r="B20" s="630"/>
      <c r="C20" s="470"/>
      <c r="D20" s="452"/>
      <c r="E20" s="471"/>
      <c r="F20" s="471">
        <f>-F18*0.3*$C$20</f>
        <v>0</v>
      </c>
      <c r="G20" s="471">
        <f t="shared" ref="G20:AB20" si="10">-G18*0.3*$C$20</f>
        <v>0</v>
      </c>
      <c r="H20" s="471">
        <f t="shared" si="10"/>
        <v>0</v>
      </c>
      <c r="I20" s="471">
        <f t="shared" si="10"/>
        <v>0</v>
      </c>
      <c r="J20" s="471">
        <f t="shared" si="10"/>
        <v>0</v>
      </c>
      <c r="K20" s="471">
        <f t="shared" si="10"/>
        <v>0</v>
      </c>
      <c r="L20" s="471">
        <f t="shared" si="10"/>
        <v>0</v>
      </c>
      <c r="M20" s="471">
        <f t="shared" si="10"/>
        <v>0</v>
      </c>
      <c r="N20" s="471">
        <f t="shared" si="10"/>
        <v>0</v>
      </c>
      <c r="O20" s="471">
        <f t="shared" si="10"/>
        <v>0</v>
      </c>
      <c r="P20" s="471">
        <f t="shared" si="10"/>
        <v>0</v>
      </c>
      <c r="Q20" s="471">
        <f t="shared" si="10"/>
        <v>0</v>
      </c>
      <c r="R20" s="471">
        <f t="shared" si="10"/>
        <v>0</v>
      </c>
      <c r="S20" s="471">
        <f t="shared" si="10"/>
        <v>0</v>
      </c>
      <c r="T20" s="471">
        <f t="shared" si="10"/>
        <v>0</v>
      </c>
      <c r="U20" s="471">
        <f t="shared" si="10"/>
        <v>0</v>
      </c>
      <c r="V20" s="471">
        <f t="shared" si="10"/>
        <v>0</v>
      </c>
      <c r="W20" s="471">
        <f t="shared" si="10"/>
        <v>0</v>
      </c>
      <c r="X20" s="471">
        <f t="shared" si="10"/>
        <v>0</v>
      </c>
      <c r="Y20" s="471">
        <f t="shared" si="10"/>
        <v>0</v>
      </c>
      <c r="Z20" s="471">
        <f t="shared" si="10"/>
        <v>0</v>
      </c>
      <c r="AA20" s="471">
        <f t="shared" si="10"/>
        <v>0</v>
      </c>
      <c r="AB20" s="471">
        <f t="shared" si="10"/>
        <v>0</v>
      </c>
    </row>
    <row r="21" spans="2:28" ht="15" customHeight="1">
      <c r="B21" s="629" t="s">
        <v>1094</v>
      </c>
      <c r="C21" s="473">
        <v>1.4999999999999999E-2</v>
      </c>
      <c r="D21" s="472"/>
      <c r="E21" s="474"/>
      <c r="F21" s="474">
        <f>-F18*$C$21</f>
        <v>-595675.40625</v>
      </c>
      <c r="G21" s="474">
        <f t="shared" ref="G21:P21" si="11">-G18*(0.35)*$C$21</f>
        <v>-694954.640625</v>
      </c>
      <c r="H21" s="474">
        <f t="shared" si="11"/>
        <v>-694954.640625</v>
      </c>
      <c r="I21" s="474">
        <f t="shared" si="11"/>
        <v>-694954.640625</v>
      </c>
      <c r="J21" s="474">
        <f t="shared" si="11"/>
        <v>-694954.640625</v>
      </c>
      <c r="K21" s="474">
        <f t="shared" si="11"/>
        <v>-694954.640625</v>
      </c>
      <c r="L21" s="474">
        <f t="shared" si="11"/>
        <v>-694954.640625</v>
      </c>
      <c r="M21" s="474">
        <f t="shared" si="11"/>
        <v>-694954.640625</v>
      </c>
      <c r="N21" s="474">
        <f t="shared" si="11"/>
        <v>-694954.640625</v>
      </c>
      <c r="O21" s="474">
        <f t="shared" si="11"/>
        <v>-694954.640625</v>
      </c>
      <c r="P21" s="474">
        <f t="shared" si="11"/>
        <v>-694954.640625</v>
      </c>
      <c r="Q21" s="474">
        <f>-Q18*(0.35)*$C$21</f>
        <v>-694954.640625</v>
      </c>
      <c r="R21" s="474">
        <f t="shared" ref="R21:AB21" si="12">-R18*(0.35)*$C$21</f>
        <v>-694954.640625</v>
      </c>
      <c r="S21" s="474">
        <f t="shared" si="12"/>
        <v>-694954.640625</v>
      </c>
      <c r="T21" s="474">
        <f t="shared" si="12"/>
        <v>-694954.640625</v>
      </c>
      <c r="U21" s="474">
        <f t="shared" si="12"/>
        <v>-694954.640625</v>
      </c>
      <c r="V21" s="474">
        <f t="shared" si="12"/>
        <v>-694954.640625</v>
      </c>
      <c r="W21" s="474">
        <f t="shared" si="12"/>
        <v>-694954.640625</v>
      </c>
      <c r="X21" s="474">
        <f t="shared" si="12"/>
        <v>-694954.640625</v>
      </c>
      <c r="Y21" s="474">
        <f t="shared" si="12"/>
        <v>-694954.640625</v>
      </c>
      <c r="Z21" s="474">
        <f t="shared" si="12"/>
        <v>-694954.640625</v>
      </c>
      <c r="AA21" s="474">
        <f t="shared" si="12"/>
        <v>-694954.640625</v>
      </c>
      <c r="AB21" s="474">
        <f t="shared" si="12"/>
        <v>-694954.640625</v>
      </c>
    </row>
    <row r="22" spans="2:28" ht="15" customHeight="1">
      <c r="B22" s="452"/>
      <c r="C22" s="452"/>
      <c r="D22" s="452"/>
      <c r="E22" s="463">
        <f>SUM(E18:E21)</f>
        <v>13237231.25</v>
      </c>
      <c r="F22" s="463">
        <f t="shared" ref="F22:P22" si="13">SUM(F18:F21)</f>
        <v>39116018.34375</v>
      </c>
      <c r="G22" s="463">
        <f t="shared" si="13"/>
        <v>131677357.859375</v>
      </c>
      <c r="H22" s="463">
        <f t="shared" si="13"/>
        <v>131677357.859375</v>
      </c>
      <c r="I22" s="463">
        <f t="shared" si="13"/>
        <v>131677357.859375</v>
      </c>
      <c r="J22" s="463">
        <f t="shared" si="13"/>
        <v>131677357.859375</v>
      </c>
      <c r="K22" s="463">
        <f t="shared" si="13"/>
        <v>131677357.859375</v>
      </c>
      <c r="L22" s="463">
        <f t="shared" si="13"/>
        <v>131677357.859375</v>
      </c>
      <c r="M22" s="463">
        <f t="shared" si="13"/>
        <v>131677357.859375</v>
      </c>
      <c r="N22" s="463">
        <f t="shared" si="13"/>
        <v>131677357.859375</v>
      </c>
      <c r="O22" s="463">
        <f t="shared" si="13"/>
        <v>131677357.859375</v>
      </c>
      <c r="P22" s="463">
        <f t="shared" si="13"/>
        <v>131677357.859375</v>
      </c>
      <c r="Q22" s="463">
        <f>SUM(Q18:Q21)</f>
        <v>131677357.859375</v>
      </c>
      <c r="R22" s="463">
        <f t="shared" ref="R22:AB22" si="14">SUM(R18:R21)</f>
        <v>131677357.859375</v>
      </c>
      <c r="S22" s="463">
        <f t="shared" si="14"/>
        <v>131677357.859375</v>
      </c>
      <c r="T22" s="463">
        <f t="shared" si="14"/>
        <v>131677357.859375</v>
      </c>
      <c r="U22" s="463">
        <f t="shared" si="14"/>
        <v>131677357.859375</v>
      </c>
      <c r="V22" s="463">
        <f t="shared" si="14"/>
        <v>131677357.859375</v>
      </c>
      <c r="W22" s="463">
        <f t="shared" si="14"/>
        <v>131677357.859375</v>
      </c>
      <c r="X22" s="463">
        <f t="shared" si="14"/>
        <v>131677357.859375</v>
      </c>
      <c r="Y22" s="463">
        <f t="shared" si="14"/>
        <v>131677357.859375</v>
      </c>
      <c r="Z22" s="463">
        <f t="shared" si="14"/>
        <v>131677357.859375</v>
      </c>
      <c r="AA22" s="463">
        <f t="shared" si="14"/>
        <v>131677357.859375</v>
      </c>
      <c r="AB22" s="463">
        <f t="shared" si="14"/>
        <v>131677357.859375</v>
      </c>
    </row>
    <row r="23" spans="2:28" ht="15" customHeight="1">
      <c r="B23" s="452"/>
      <c r="C23" s="452"/>
      <c r="D23" s="452"/>
      <c r="E23" s="452"/>
      <c r="F23" s="452"/>
      <c r="G23" s="452"/>
      <c r="H23" s="452"/>
      <c r="J23" s="469"/>
      <c r="K23" s="469"/>
      <c r="L23" s="469"/>
      <c r="M23" s="469"/>
      <c r="N23" s="469"/>
      <c r="Q23" s="452"/>
      <c r="R23" s="452"/>
      <c r="S23" s="452"/>
      <c r="T23" s="452"/>
      <c r="V23" s="469"/>
      <c r="W23" s="469"/>
      <c r="X23" s="469"/>
      <c r="Y23" s="469"/>
      <c r="Z23" s="469"/>
    </row>
    <row r="24" spans="2:28" ht="15" customHeight="1">
      <c r="B24" s="452"/>
      <c r="C24" s="452"/>
      <c r="D24" s="452"/>
      <c r="E24" s="1727" t="s">
        <v>451</v>
      </c>
      <c r="F24" s="1727"/>
      <c r="G24" s="1727"/>
      <c r="H24" s="1727"/>
      <c r="I24" s="1727"/>
      <c r="J24" s="1727"/>
      <c r="K24" s="1727"/>
      <c r="L24" s="1727"/>
      <c r="M24" s="1727"/>
      <c r="N24" s="1727"/>
      <c r="O24" s="1727"/>
      <c r="P24" s="1727"/>
      <c r="Q24" s="1727" t="s">
        <v>632</v>
      </c>
      <c r="R24" s="1727"/>
      <c r="S24" s="1727"/>
      <c r="T24" s="1727"/>
      <c r="U24" s="1727"/>
      <c r="V24" s="1727"/>
      <c r="W24" s="1727"/>
      <c r="X24" s="1727"/>
      <c r="Y24" s="1727"/>
      <c r="Z24" s="1727"/>
      <c r="AA24" s="1727"/>
      <c r="AB24" s="1727"/>
    </row>
    <row r="25" spans="2:28" ht="15" customHeight="1">
      <c r="B25" s="451" t="s">
        <v>451</v>
      </c>
      <c r="C25" s="452"/>
      <c r="D25" s="475">
        <v>0</v>
      </c>
      <c r="E25" s="475">
        <v>1</v>
      </c>
      <c r="F25" s="475">
        <v>2</v>
      </c>
      <c r="G25" s="475">
        <v>3</v>
      </c>
      <c r="H25" s="475">
        <v>4</v>
      </c>
      <c r="I25" s="475">
        <v>5</v>
      </c>
      <c r="J25" s="475">
        <v>6</v>
      </c>
      <c r="K25" s="475">
        <v>7</v>
      </c>
      <c r="L25" s="475">
        <v>8</v>
      </c>
      <c r="M25" s="475">
        <v>9</v>
      </c>
      <c r="N25" s="475">
        <v>10</v>
      </c>
      <c r="O25" s="475">
        <v>11</v>
      </c>
      <c r="P25" s="475">
        <v>12</v>
      </c>
      <c r="Q25" s="475">
        <v>13</v>
      </c>
      <c r="R25" s="475">
        <v>14</v>
      </c>
      <c r="S25" s="475">
        <v>15</v>
      </c>
      <c r="T25" s="475">
        <v>16</v>
      </c>
      <c r="U25" s="475">
        <v>17</v>
      </c>
      <c r="V25" s="475">
        <v>18</v>
      </c>
      <c r="W25" s="475">
        <v>19</v>
      </c>
      <c r="X25" s="475">
        <v>20</v>
      </c>
      <c r="Y25" s="475">
        <v>21</v>
      </c>
      <c r="Z25" s="475">
        <v>22</v>
      </c>
      <c r="AA25" s="475">
        <v>23</v>
      </c>
      <c r="AB25" s="475">
        <v>24</v>
      </c>
    </row>
    <row r="26" spans="2:28" ht="15" customHeight="1">
      <c r="B26" s="476" t="s">
        <v>641</v>
      </c>
      <c r="C26" s="452"/>
      <c r="D26" s="452"/>
      <c r="E26" s="452"/>
      <c r="F26" s="452"/>
      <c r="G26" s="452"/>
      <c r="H26" s="452"/>
      <c r="J26" s="469"/>
      <c r="K26" s="469"/>
      <c r="L26" s="469"/>
      <c r="M26" s="469"/>
      <c r="N26" s="469"/>
      <c r="Q26" s="452"/>
      <c r="R26" s="452"/>
      <c r="S26" s="452"/>
      <c r="T26" s="452"/>
      <c r="V26" s="469"/>
      <c r="W26" s="469"/>
      <c r="X26" s="469"/>
      <c r="Y26" s="469"/>
      <c r="Z26" s="469"/>
    </row>
    <row r="27" spans="2:28" ht="15" customHeight="1">
      <c r="B27" s="452" t="s">
        <v>184</v>
      </c>
      <c r="C27" s="452"/>
      <c r="D27" s="452"/>
      <c r="E27" s="463">
        <f>E22</f>
        <v>13237231.25</v>
      </c>
      <c r="F27" s="463">
        <f t="shared" ref="F27:AB27" si="15">F22</f>
        <v>39116018.34375</v>
      </c>
      <c r="G27" s="463">
        <f t="shared" si="15"/>
        <v>131677357.859375</v>
      </c>
      <c r="H27" s="463">
        <f t="shared" si="15"/>
        <v>131677357.859375</v>
      </c>
      <c r="I27" s="463">
        <f t="shared" si="15"/>
        <v>131677357.859375</v>
      </c>
      <c r="J27" s="463">
        <f t="shared" si="15"/>
        <v>131677357.859375</v>
      </c>
      <c r="K27" s="463">
        <f t="shared" si="15"/>
        <v>131677357.859375</v>
      </c>
      <c r="L27" s="463">
        <f t="shared" si="15"/>
        <v>131677357.859375</v>
      </c>
      <c r="M27" s="463">
        <f t="shared" si="15"/>
        <v>131677357.859375</v>
      </c>
      <c r="N27" s="463">
        <f t="shared" si="15"/>
        <v>131677357.859375</v>
      </c>
      <c r="O27" s="463">
        <f t="shared" si="15"/>
        <v>131677357.859375</v>
      </c>
      <c r="P27" s="463">
        <f t="shared" si="15"/>
        <v>131677357.859375</v>
      </c>
      <c r="Q27" s="463">
        <f t="shared" si="15"/>
        <v>131677357.859375</v>
      </c>
      <c r="R27" s="463">
        <f t="shared" si="15"/>
        <v>131677357.859375</v>
      </c>
      <c r="S27" s="463">
        <f t="shared" si="15"/>
        <v>131677357.859375</v>
      </c>
      <c r="T27" s="463">
        <f t="shared" si="15"/>
        <v>131677357.859375</v>
      </c>
      <c r="U27" s="463">
        <f t="shared" si="15"/>
        <v>131677357.859375</v>
      </c>
      <c r="V27" s="463">
        <f t="shared" si="15"/>
        <v>131677357.859375</v>
      </c>
      <c r="W27" s="463">
        <f t="shared" si="15"/>
        <v>131677357.859375</v>
      </c>
      <c r="X27" s="463">
        <f t="shared" si="15"/>
        <v>131677357.859375</v>
      </c>
      <c r="Y27" s="463">
        <f t="shared" si="15"/>
        <v>131677357.859375</v>
      </c>
      <c r="Z27" s="463">
        <f t="shared" si="15"/>
        <v>131677357.859375</v>
      </c>
      <c r="AA27" s="463">
        <f t="shared" si="15"/>
        <v>131677357.859375</v>
      </c>
      <c r="AB27" s="463">
        <f t="shared" si="15"/>
        <v>131677357.859375</v>
      </c>
    </row>
    <row r="28" spans="2:28" ht="15" customHeight="1">
      <c r="B28" s="452"/>
      <c r="C28" s="452"/>
      <c r="D28" s="452"/>
      <c r="E28" s="463"/>
      <c r="F28" s="463"/>
      <c r="G28" s="463"/>
      <c r="H28" s="463"/>
      <c r="I28" s="463"/>
      <c r="J28" s="463"/>
      <c r="K28" s="463"/>
      <c r="L28" s="463"/>
      <c r="M28" s="463"/>
      <c r="N28" s="463"/>
      <c r="O28" s="463"/>
      <c r="P28" s="463"/>
      <c r="Q28" s="463"/>
      <c r="R28" s="463"/>
      <c r="S28" s="463"/>
      <c r="T28" s="463"/>
      <c r="U28" s="463"/>
      <c r="V28" s="463"/>
      <c r="W28" s="463"/>
      <c r="X28" s="463"/>
      <c r="Y28" s="463"/>
      <c r="Z28" s="463"/>
      <c r="AA28" s="463"/>
      <c r="AB28" s="463"/>
    </row>
    <row r="29" spans="2:28" s="479" customFormat="1" ht="15" customHeight="1">
      <c r="B29" s="458" t="s">
        <v>642</v>
      </c>
      <c r="C29" s="707">
        <v>199000</v>
      </c>
      <c r="D29" s="478"/>
      <c r="E29" s="478">
        <f>$C$29/12</f>
        <v>16583.333333333332</v>
      </c>
      <c r="F29" s="478">
        <f t="shared" ref="F29:AB29" si="16">$C$29/12</f>
        <v>16583.333333333332</v>
      </c>
      <c r="G29" s="478">
        <f t="shared" si="16"/>
        <v>16583.333333333332</v>
      </c>
      <c r="H29" s="478">
        <f t="shared" si="16"/>
        <v>16583.333333333332</v>
      </c>
      <c r="I29" s="478">
        <f t="shared" si="16"/>
        <v>16583.333333333332</v>
      </c>
      <c r="J29" s="478">
        <f t="shared" si="16"/>
        <v>16583.333333333332</v>
      </c>
      <c r="K29" s="478">
        <f t="shared" si="16"/>
        <v>16583.333333333332</v>
      </c>
      <c r="L29" s="478">
        <f t="shared" si="16"/>
        <v>16583.333333333332</v>
      </c>
      <c r="M29" s="478">
        <f t="shared" si="16"/>
        <v>16583.333333333332</v>
      </c>
      <c r="N29" s="478">
        <f t="shared" si="16"/>
        <v>16583.333333333332</v>
      </c>
      <c r="O29" s="478">
        <f t="shared" si="16"/>
        <v>16583.333333333332</v>
      </c>
      <c r="P29" s="478">
        <f t="shared" si="16"/>
        <v>16583.333333333332</v>
      </c>
      <c r="Q29" s="478">
        <f>$C$29/12</f>
        <v>16583.333333333332</v>
      </c>
      <c r="R29" s="478">
        <f t="shared" si="16"/>
        <v>16583.333333333332</v>
      </c>
      <c r="S29" s="478">
        <f t="shared" si="16"/>
        <v>16583.333333333332</v>
      </c>
      <c r="T29" s="478">
        <f t="shared" si="16"/>
        <v>16583.333333333332</v>
      </c>
      <c r="U29" s="478">
        <f t="shared" si="16"/>
        <v>16583.333333333332</v>
      </c>
      <c r="V29" s="478">
        <f t="shared" si="16"/>
        <v>16583.333333333332</v>
      </c>
      <c r="W29" s="478">
        <f t="shared" si="16"/>
        <v>16583.333333333332</v>
      </c>
      <c r="X29" s="478">
        <f t="shared" si="16"/>
        <v>16583.333333333332</v>
      </c>
      <c r="Y29" s="478">
        <f t="shared" si="16"/>
        <v>16583.333333333332</v>
      </c>
      <c r="Z29" s="478">
        <f t="shared" si="16"/>
        <v>16583.333333333332</v>
      </c>
      <c r="AA29" s="478">
        <f t="shared" si="16"/>
        <v>16583.333333333332</v>
      </c>
      <c r="AB29" s="478">
        <f t="shared" si="16"/>
        <v>16583.333333333332</v>
      </c>
    </row>
    <row r="30" spans="2:28" ht="15" customHeight="1">
      <c r="B30" s="476" t="s">
        <v>643</v>
      </c>
      <c r="C30" s="452"/>
      <c r="D30" s="452"/>
      <c r="E30" s="452"/>
      <c r="F30" s="452"/>
      <c r="G30" s="452"/>
      <c r="H30" s="452"/>
      <c r="J30" s="469"/>
      <c r="K30" s="469"/>
      <c r="L30" s="469"/>
      <c r="M30" s="469"/>
      <c r="N30" s="469"/>
      <c r="Q30" s="452"/>
      <c r="R30" s="452"/>
      <c r="S30" s="452"/>
      <c r="T30" s="452"/>
      <c r="V30" s="469"/>
      <c r="W30" s="469"/>
      <c r="X30" s="469"/>
      <c r="Y30" s="469"/>
      <c r="Z30" s="469"/>
    </row>
    <row r="31" spans="2:28" ht="15" customHeight="1">
      <c r="B31" s="480" t="s">
        <v>644</v>
      </c>
      <c r="C31" s="452"/>
      <c r="D31" s="452"/>
      <c r="E31" s="452"/>
      <c r="F31" s="452"/>
      <c r="G31" s="452"/>
      <c r="H31" s="452"/>
      <c r="J31" s="469"/>
      <c r="K31" s="469"/>
      <c r="L31" s="469"/>
      <c r="M31" s="469"/>
      <c r="N31" s="469"/>
      <c r="Q31" s="452"/>
      <c r="R31" s="452"/>
      <c r="S31" s="452"/>
      <c r="T31" s="452"/>
      <c r="V31" s="469"/>
      <c r="W31" s="469"/>
      <c r="X31" s="469"/>
      <c r="Y31" s="469"/>
      <c r="Z31" s="469"/>
    </row>
    <row r="32" spans="2:28">
      <c r="B32" s="452" t="s">
        <v>598</v>
      </c>
      <c r="C32" s="450"/>
      <c r="D32" s="452"/>
      <c r="E32" s="471">
        <f>-$C32*$E$29</f>
        <v>0</v>
      </c>
      <c r="F32" s="471">
        <f t="shared" ref="F32:P32" si="17">-$C32*F29</f>
        <v>0</v>
      </c>
      <c r="G32" s="471">
        <f t="shared" si="17"/>
        <v>0</v>
      </c>
      <c r="H32" s="471">
        <f t="shared" si="17"/>
        <v>0</v>
      </c>
      <c r="I32" s="471">
        <f t="shared" si="17"/>
        <v>0</v>
      </c>
      <c r="J32" s="471">
        <f t="shared" si="17"/>
        <v>0</v>
      </c>
      <c r="K32" s="471">
        <f t="shared" si="17"/>
        <v>0</v>
      </c>
      <c r="L32" s="471">
        <f t="shared" si="17"/>
        <v>0</v>
      </c>
      <c r="M32" s="471">
        <f t="shared" si="17"/>
        <v>0</v>
      </c>
      <c r="N32" s="471">
        <f t="shared" si="17"/>
        <v>0</v>
      </c>
      <c r="O32" s="471">
        <f t="shared" si="17"/>
        <v>0</v>
      </c>
      <c r="P32" s="471">
        <f t="shared" si="17"/>
        <v>0</v>
      </c>
      <c r="Q32" s="471">
        <f>-$C32*Q29</f>
        <v>0</v>
      </c>
      <c r="R32" s="471">
        <f t="shared" ref="R32:AB32" si="18">-$C32*R29</f>
        <v>0</v>
      </c>
      <c r="S32" s="471">
        <f t="shared" si="18"/>
        <v>0</v>
      </c>
      <c r="T32" s="471">
        <f t="shared" si="18"/>
        <v>0</v>
      </c>
      <c r="U32" s="471">
        <f t="shared" si="18"/>
        <v>0</v>
      </c>
      <c r="V32" s="471">
        <f t="shared" si="18"/>
        <v>0</v>
      </c>
      <c r="W32" s="471">
        <f t="shared" si="18"/>
        <v>0</v>
      </c>
      <c r="X32" s="471">
        <f t="shared" si="18"/>
        <v>0</v>
      </c>
      <c r="Y32" s="471">
        <f t="shared" si="18"/>
        <v>0</v>
      </c>
      <c r="Z32" s="471">
        <f t="shared" si="18"/>
        <v>0</v>
      </c>
      <c r="AA32" s="471">
        <f t="shared" si="18"/>
        <v>0</v>
      </c>
      <c r="AB32" s="471">
        <f t="shared" si="18"/>
        <v>0</v>
      </c>
    </row>
    <row r="33" spans="2:28">
      <c r="B33" s="452" t="s">
        <v>645</v>
      </c>
      <c r="C33" s="450"/>
      <c r="D33" s="452"/>
      <c r="E33" s="471">
        <f>-$C33*$E$29</f>
        <v>0</v>
      </c>
      <c r="F33" s="471">
        <f t="shared" ref="F33:P33" si="19">-$C33*F29</f>
        <v>0</v>
      </c>
      <c r="G33" s="471">
        <f t="shared" si="19"/>
        <v>0</v>
      </c>
      <c r="H33" s="471">
        <f t="shared" si="19"/>
        <v>0</v>
      </c>
      <c r="I33" s="471">
        <f t="shared" si="19"/>
        <v>0</v>
      </c>
      <c r="J33" s="471">
        <f t="shared" si="19"/>
        <v>0</v>
      </c>
      <c r="K33" s="471">
        <f t="shared" si="19"/>
        <v>0</v>
      </c>
      <c r="L33" s="471">
        <f t="shared" si="19"/>
        <v>0</v>
      </c>
      <c r="M33" s="471">
        <f t="shared" si="19"/>
        <v>0</v>
      </c>
      <c r="N33" s="471">
        <f t="shared" si="19"/>
        <v>0</v>
      </c>
      <c r="O33" s="471">
        <f t="shared" si="19"/>
        <v>0</v>
      </c>
      <c r="P33" s="471">
        <f t="shared" si="19"/>
        <v>0</v>
      </c>
      <c r="Q33" s="471">
        <f>-$C33*Q29</f>
        <v>0</v>
      </c>
      <c r="R33" s="471">
        <f t="shared" ref="R33:AB33" si="20">-$C33*R29</f>
        <v>0</v>
      </c>
      <c r="S33" s="471">
        <f t="shared" si="20"/>
        <v>0</v>
      </c>
      <c r="T33" s="471">
        <f t="shared" si="20"/>
        <v>0</v>
      </c>
      <c r="U33" s="471">
        <f t="shared" si="20"/>
        <v>0</v>
      </c>
      <c r="V33" s="471">
        <f t="shared" si="20"/>
        <v>0</v>
      </c>
      <c r="W33" s="471">
        <f t="shared" si="20"/>
        <v>0</v>
      </c>
      <c r="X33" s="471">
        <f t="shared" si="20"/>
        <v>0</v>
      </c>
      <c r="Y33" s="471">
        <f t="shared" si="20"/>
        <v>0</v>
      </c>
      <c r="Z33" s="471">
        <f t="shared" si="20"/>
        <v>0</v>
      </c>
      <c r="AA33" s="471">
        <f t="shared" si="20"/>
        <v>0</v>
      </c>
      <c r="AB33" s="471">
        <f t="shared" si="20"/>
        <v>0</v>
      </c>
    </row>
    <row r="34" spans="2:28">
      <c r="B34" s="452" t="s">
        <v>600</v>
      </c>
      <c r="C34" s="450"/>
      <c r="D34" s="452"/>
      <c r="E34" s="471">
        <f>-$C34*$E$29</f>
        <v>0</v>
      </c>
      <c r="F34" s="471">
        <f t="shared" ref="F34:P34" si="21">-$C34*F29</f>
        <v>0</v>
      </c>
      <c r="G34" s="471">
        <f t="shared" si="21"/>
        <v>0</v>
      </c>
      <c r="H34" s="471">
        <f t="shared" si="21"/>
        <v>0</v>
      </c>
      <c r="I34" s="471">
        <f t="shared" si="21"/>
        <v>0</v>
      </c>
      <c r="J34" s="471">
        <f t="shared" si="21"/>
        <v>0</v>
      </c>
      <c r="K34" s="471">
        <f t="shared" si="21"/>
        <v>0</v>
      </c>
      <c r="L34" s="471">
        <f t="shared" si="21"/>
        <v>0</v>
      </c>
      <c r="M34" s="471">
        <f t="shared" si="21"/>
        <v>0</v>
      </c>
      <c r="N34" s="471">
        <f t="shared" si="21"/>
        <v>0</v>
      </c>
      <c r="O34" s="471">
        <f t="shared" si="21"/>
        <v>0</v>
      </c>
      <c r="P34" s="471">
        <f t="shared" si="21"/>
        <v>0</v>
      </c>
      <c r="Q34" s="471">
        <f>-$C34*Q29</f>
        <v>0</v>
      </c>
      <c r="R34" s="471">
        <f t="shared" ref="R34:AB34" si="22">-$C34*R29</f>
        <v>0</v>
      </c>
      <c r="S34" s="471">
        <f t="shared" si="22"/>
        <v>0</v>
      </c>
      <c r="T34" s="471">
        <f t="shared" si="22"/>
        <v>0</v>
      </c>
      <c r="U34" s="471">
        <f t="shared" si="22"/>
        <v>0</v>
      </c>
      <c r="V34" s="471">
        <f t="shared" si="22"/>
        <v>0</v>
      </c>
      <c r="W34" s="471">
        <f t="shared" si="22"/>
        <v>0</v>
      </c>
      <c r="X34" s="471">
        <f t="shared" si="22"/>
        <v>0</v>
      </c>
      <c r="Y34" s="471">
        <f t="shared" si="22"/>
        <v>0</v>
      </c>
      <c r="Z34" s="471">
        <f t="shared" si="22"/>
        <v>0</v>
      </c>
      <c r="AA34" s="471">
        <f t="shared" si="22"/>
        <v>0</v>
      </c>
      <c r="AB34" s="471">
        <f t="shared" si="22"/>
        <v>0</v>
      </c>
    </row>
    <row r="35" spans="2:28">
      <c r="B35" s="452" t="s">
        <v>181</v>
      </c>
      <c r="C35" s="450"/>
      <c r="D35" s="452"/>
      <c r="E35" s="471">
        <f>-$C35*$E$29</f>
        <v>0</v>
      </c>
      <c r="F35" s="471">
        <f t="shared" ref="F35:T35" si="23">-$C35*$E$29</f>
        <v>0</v>
      </c>
      <c r="G35" s="471">
        <f t="shared" si="23"/>
        <v>0</v>
      </c>
      <c r="H35" s="471">
        <f t="shared" si="23"/>
        <v>0</v>
      </c>
      <c r="I35" s="471">
        <f t="shared" si="23"/>
        <v>0</v>
      </c>
      <c r="J35" s="471">
        <f t="shared" si="23"/>
        <v>0</v>
      </c>
      <c r="K35" s="471">
        <f t="shared" si="23"/>
        <v>0</v>
      </c>
      <c r="L35" s="471">
        <f t="shared" si="23"/>
        <v>0</v>
      </c>
      <c r="M35" s="471">
        <f t="shared" si="23"/>
        <v>0</v>
      </c>
      <c r="N35" s="471">
        <f t="shared" si="23"/>
        <v>0</v>
      </c>
      <c r="O35" s="471">
        <f t="shared" si="23"/>
        <v>0</v>
      </c>
      <c r="P35" s="471">
        <f t="shared" si="23"/>
        <v>0</v>
      </c>
      <c r="Q35" s="471">
        <f t="shared" si="23"/>
        <v>0</v>
      </c>
      <c r="R35" s="471">
        <f t="shared" si="23"/>
        <v>0</v>
      </c>
      <c r="S35" s="471">
        <f t="shared" si="23"/>
        <v>0</v>
      </c>
      <c r="T35" s="471">
        <f t="shared" si="23"/>
        <v>0</v>
      </c>
      <c r="U35" s="471">
        <f t="shared" ref="U35:AB35" si="24">-$C35*$E$29</f>
        <v>0</v>
      </c>
      <c r="V35" s="471">
        <f t="shared" si="24"/>
        <v>0</v>
      </c>
      <c r="W35" s="471">
        <f t="shared" si="24"/>
        <v>0</v>
      </c>
      <c r="X35" s="471">
        <f t="shared" si="24"/>
        <v>0</v>
      </c>
      <c r="Y35" s="471">
        <f t="shared" si="24"/>
        <v>0</v>
      </c>
      <c r="Z35" s="471">
        <f t="shared" si="24"/>
        <v>0</v>
      </c>
      <c r="AA35" s="471">
        <f t="shared" si="24"/>
        <v>0</v>
      </c>
      <c r="AB35" s="471">
        <f t="shared" si="24"/>
        <v>0</v>
      </c>
    </row>
    <row r="36" spans="2:28">
      <c r="B36" s="452"/>
      <c r="C36" s="452"/>
      <c r="D36" s="452"/>
      <c r="E36" s="452"/>
      <c r="F36" s="452"/>
      <c r="G36" s="452"/>
      <c r="H36" s="452"/>
      <c r="Q36" s="452"/>
      <c r="R36" s="452"/>
      <c r="S36" s="452"/>
      <c r="T36" s="452"/>
    </row>
    <row r="37" spans="2:28">
      <c r="B37" s="480" t="s">
        <v>646</v>
      </c>
      <c r="C37" s="452"/>
      <c r="D37" s="452"/>
      <c r="E37" s="452"/>
      <c r="F37" s="452"/>
      <c r="G37" s="452"/>
      <c r="H37" s="452"/>
      <c r="Q37" s="452"/>
      <c r="R37" s="452"/>
      <c r="S37" s="452"/>
      <c r="T37" s="452"/>
    </row>
    <row r="38" spans="2:28">
      <c r="B38" s="452" t="s">
        <v>1080</v>
      </c>
      <c r="C38" s="450">
        <v>0</v>
      </c>
      <c r="D38" s="452"/>
      <c r="E38" s="471">
        <f>-$C38*E29</f>
        <v>0</v>
      </c>
      <c r="F38" s="471">
        <f t="shared" ref="F38:P38" si="25">-$C38*F29</f>
        <v>0</v>
      </c>
      <c r="G38" s="471">
        <f t="shared" si="25"/>
        <v>0</v>
      </c>
      <c r="H38" s="471">
        <f t="shared" si="25"/>
        <v>0</v>
      </c>
      <c r="I38" s="471">
        <f t="shared" si="25"/>
        <v>0</v>
      </c>
      <c r="J38" s="471">
        <f t="shared" si="25"/>
        <v>0</v>
      </c>
      <c r="K38" s="471">
        <f t="shared" si="25"/>
        <v>0</v>
      </c>
      <c r="L38" s="471">
        <f t="shared" si="25"/>
        <v>0</v>
      </c>
      <c r="M38" s="471">
        <f t="shared" si="25"/>
        <v>0</v>
      </c>
      <c r="N38" s="471">
        <f t="shared" si="25"/>
        <v>0</v>
      </c>
      <c r="O38" s="471">
        <f t="shared" si="25"/>
        <v>0</v>
      </c>
      <c r="P38" s="471">
        <f t="shared" si="25"/>
        <v>0</v>
      </c>
      <c r="Q38" s="471">
        <f>-$C38*Q29</f>
        <v>0</v>
      </c>
      <c r="R38" s="471">
        <f t="shared" ref="R38:AB38" si="26">-$C38*R29</f>
        <v>0</v>
      </c>
      <c r="S38" s="471">
        <f t="shared" si="26"/>
        <v>0</v>
      </c>
      <c r="T38" s="471">
        <f t="shared" si="26"/>
        <v>0</v>
      </c>
      <c r="U38" s="471">
        <f t="shared" si="26"/>
        <v>0</v>
      </c>
      <c r="V38" s="471">
        <f t="shared" si="26"/>
        <v>0</v>
      </c>
      <c r="W38" s="471">
        <f t="shared" si="26"/>
        <v>0</v>
      </c>
      <c r="X38" s="471">
        <f t="shared" si="26"/>
        <v>0</v>
      </c>
      <c r="Y38" s="471">
        <f t="shared" si="26"/>
        <v>0</v>
      </c>
      <c r="Z38" s="471">
        <f t="shared" si="26"/>
        <v>0</v>
      </c>
      <c r="AA38" s="471">
        <f t="shared" si="26"/>
        <v>0</v>
      </c>
      <c r="AB38" s="471">
        <f t="shared" si="26"/>
        <v>0</v>
      </c>
    </row>
    <row r="39" spans="2:28">
      <c r="B39" s="452" t="s">
        <v>1174</v>
      </c>
      <c r="C39" s="450">
        <v>6006.5</v>
      </c>
      <c r="D39" s="452"/>
      <c r="E39" s="452"/>
      <c r="F39" s="471">
        <f>-$C39*F29</f>
        <v>-99607791.666666657</v>
      </c>
      <c r="G39" s="471">
        <f t="shared" ref="G39:AB39" si="27">-$C39*G29</f>
        <v>-99607791.666666657</v>
      </c>
      <c r="H39" s="471">
        <f t="shared" si="27"/>
        <v>-99607791.666666657</v>
      </c>
      <c r="I39" s="471">
        <f t="shared" si="27"/>
        <v>-99607791.666666657</v>
      </c>
      <c r="J39" s="471">
        <f t="shared" si="27"/>
        <v>-99607791.666666657</v>
      </c>
      <c r="K39" s="471">
        <f t="shared" si="27"/>
        <v>-99607791.666666657</v>
      </c>
      <c r="L39" s="471">
        <f t="shared" si="27"/>
        <v>-99607791.666666657</v>
      </c>
      <c r="M39" s="471">
        <f t="shared" si="27"/>
        <v>-99607791.666666657</v>
      </c>
      <c r="N39" s="471">
        <f t="shared" si="27"/>
        <v>-99607791.666666657</v>
      </c>
      <c r="O39" s="471">
        <f t="shared" si="27"/>
        <v>-99607791.666666657</v>
      </c>
      <c r="P39" s="471">
        <f t="shared" si="27"/>
        <v>-99607791.666666657</v>
      </c>
      <c r="Q39" s="471">
        <f t="shared" si="27"/>
        <v>-99607791.666666657</v>
      </c>
      <c r="R39" s="471">
        <f t="shared" si="27"/>
        <v>-99607791.666666657</v>
      </c>
      <c r="S39" s="471">
        <f t="shared" si="27"/>
        <v>-99607791.666666657</v>
      </c>
      <c r="T39" s="471">
        <f t="shared" si="27"/>
        <v>-99607791.666666657</v>
      </c>
      <c r="U39" s="471">
        <f t="shared" si="27"/>
        <v>-99607791.666666657</v>
      </c>
      <c r="V39" s="471">
        <f t="shared" si="27"/>
        <v>-99607791.666666657</v>
      </c>
      <c r="W39" s="471">
        <f t="shared" si="27"/>
        <v>-99607791.666666657</v>
      </c>
      <c r="X39" s="471">
        <f t="shared" si="27"/>
        <v>-99607791.666666657</v>
      </c>
      <c r="Y39" s="471">
        <f t="shared" si="27"/>
        <v>-99607791.666666657</v>
      </c>
      <c r="Z39" s="471">
        <f t="shared" si="27"/>
        <v>-99607791.666666657</v>
      </c>
      <c r="AA39" s="471">
        <f t="shared" si="27"/>
        <v>-99607791.666666657</v>
      </c>
      <c r="AB39" s="471">
        <f t="shared" si="27"/>
        <v>-99607791.666666657</v>
      </c>
    </row>
    <row r="40" spans="2:28">
      <c r="B40" s="452" t="s">
        <v>1085</v>
      </c>
      <c r="C40" s="450">
        <v>0</v>
      </c>
      <c r="D40" s="452"/>
      <c r="E40" s="452"/>
      <c r="F40" s="471">
        <f>-$C40*F29</f>
        <v>0</v>
      </c>
      <c r="G40" s="471">
        <f t="shared" ref="G40:AB40" si="28">-$C40*G29</f>
        <v>0</v>
      </c>
      <c r="H40" s="471">
        <f t="shared" si="28"/>
        <v>0</v>
      </c>
      <c r="I40" s="471">
        <f t="shared" si="28"/>
        <v>0</v>
      </c>
      <c r="J40" s="471">
        <f t="shared" si="28"/>
        <v>0</v>
      </c>
      <c r="K40" s="471">
        <f t="shared" si="28"/>
        <v>0</v>
      </c>
      <c r="L40" s="471">
        <f t="shared" si="28"/>
        <v>0</v>
      </c>
      <c r="M40" s="471">
        <f t="shared" si="28"/>
        <v>0</v>
      </c>
      <c r="N40" s="471">
        <f t="shared" si="28"/>
        <v>0</v>
      </c>
      <c r="O40" s="471">
        <f t="shared" si="28"/>
        <v>0</v>
      </c>
      <c r="P40" s="471">
        <f t="shared" si="28"/>
        <v>0</v>
      </c>
      <c r="Q40" s="471">
        <f t="shared" si="28"/>
        <v>0</v>
      </c>
      <c r="R40" s="471">
        <f t="shared" si="28"/>
        <v>0</v>
      </c>
      <c r="S40" s="471">
        <f t="shared" si="28"/>
        <v>0</v>
      </c>
      <c r="T40" s="471">
        <f t="shared" si="28"/>
        <v>0</v>
      </c>
      <c r="U40" s="471">
        <f t="shared" si="28"/>
        <v>0</v>
      </c>
      <c r="V40" s="471">
        <f t="shared" si="28"/>
        <v>0</v>
      </c>
      <c r="W40" s="471">
        <f t="shared" si="28"/>
        <v>0</v>
      </c>
      <c r="X40" s="471">
        <f t="shared" si="28"/>
        <v>0</v>
      </c>
      <c r="Y40" s="471">
        <f t="shared" si="28"/>
        <v>0</v>
      </c>
      <c r="Z40" s="471">
        <f t="shared" si="28"/>
        <v>0</v>
      </c>
      <c r="AA40" s="471">
        <f t="shared" si="28"/>
        <v>0</v>
      </c>
      <c r="AB40" s="471">
        <f t="shared" si="28"/>
        <v>0</v>
      </c>
    </row>
    <row r="41" spans="2:28">
      <c r="B41" s="452" t="s">
        <v>1084</v>
      </c>
      <c r="C41" s="450">
        <v>0</v>
      </c>
      <c r="D41" s="452"/>
      <c r="E41" s="452"/>
      <c r="F41" s="471">
        <v>0</v>
      </c>
      <c r="G41" s="471">
        <f t="shared" ref="G41:AB41" si="29">-$C41*G29</f>
        <v>0</v>
      </c>
      <c r="H41" s="471">
        <f t="shared" si="29"/>
        <v>0</v>
      </c>
      <c r="I41" s="471">
        <f t="shared" si="29"/>
        <v>0</v>
      </c>
      <c r="J41" s="471">
        <f t="shared" si="29"/>
        <v>0</v>
      </c>
      <c r="K41" s="471">
        <f t="shared" si="29"/>
        <v>0</v>
      </c>
      <c r="L41" s="471">
        <f t="shared" si="29"/>
        <v>0</v>
      </c>
      <c r="M41" s="471">
        <f t="shared" si="29"/>
        <v>0</v>
      </c>
      <c r="N41" s="471">
        <f t="shared" si="29"/>
        <v>0</v>
      </c>
      <c r="O41" s="471">
        <f t="shared" si="29"/>
        <v>0</v>
      </c>
      <c r="P41" s="471">
        <f t="shared" si="29"/>
        <v>0</v>
      </c>
      <c r="Q41" s="471">
        <f t="shared" si="29"/>
        <v>0</v>
      </c>
      <c r="R41" s="471">
        <f t="shared" si="29"/>
        <v>0</v>
      </c>
      <c r="S41" s="471">
        <f t="shared" si="29"/>
        <v>0</v>
      </c>
      <c r="T41" s="471">
        <f t="shared" si="29"/>
        <v>0</v>
      </c>
      <c r="U41" s="471">
        <f t="shared" si="29"/>
        <v>0</v>
      </c>
      <c r="V41" s="471">
        <f t="shared" si="29"/>
        <v>0</v>
      </c>
      <c r="W41" s="471">
        <f t="shared" si="29"/>
        <v>0</v>
      </c>
      <c r="X41" s="471">
        <f t="shared" si="29"/>
        <v>0</v>
      </c>
      <c r="Y41" s="471">
        <f t="shared" si="29"/>
        <v>0</v>
      </c>
      <c r="Z41" s="471">
        <f t="shared" si="29"/>
        <v>0</v>
      </c>
      <c r="AA41" s="471">
        <f t="shared" si="29"/>
        <v>0</v>
      </c>
      <c r="AB41" s="471">
        <f t="shared" si="29"/>
        <v>0</v>
      </c>
    </row>
    <row r="42" spans="2:28">
      <c r="B42" s="452" t="s">
        <v>1083</v>
      </c>
      <c r="C42" s="450">
        <v>0</v>
      </c>
      <c r="D42" s="452"/>
      <c r="E42" s="452"/>
      <c r="F42" s="452"/>
      <c r="G42" s="471">
        <f t="shared" ref="G42:AB42" si="30">-$C42*G29</f>
        <v>0</v>
      </c>
      <c r="H42" s="471">
        <f t="shared" si="30"/>
        <v>0</v>
      </c>
      <c r="I42" s="471">
        <f t="shared" si="30"/>
        <v>0</v>
      </c>
      <c r="J42" s="471">
        <f t="shared" si="30"/>
        <v>0</v>
      </c>
      <c r="K42" s="471">
        <f t="shared" si="30"/>
        <v>0</v>
      </c>
      <c r="L42" s="471">
        <f t="shared" si="30"/>
        <v>0</v>
      </c>
      <c r="M42" s="471">
        <f t="shared" si="30"/>
        <v>0</v>
      </c>
      <c r="N42" s="471">
        <f t="shared" si="30"/>
        <v>0</v>
      </c>
      <c r="O42" s="471">
        <f t="shared" si="30"/>
        <v>0</v>
      </c>
      <c r="P42" s="471">
        <f t="shared" si="30"/>
        <v>0</v>
      </c>
      <c r="Q42" s="471">
        <f t="shared" si="30"/>
        <v>0</v>
      </c>
      <c r="R42" s="471">
        <f t="shared" si="30"/>
        <v>0</v>
      </c>
      <c r="S42" s="471">
        <f t="shared" si="30"/>
        <v>0</v>
      </c>
      <c r="T42" s="471">
        <f t="shared" si="30"/>
        <v>0</v>
      </c>
      <c r="U42" s="471">
        <f t="shared" si="30"/>
        <v>0</v>
      </c>
      <c r="V42" s="471">
        <f t="shared" si="30"/>
        <v>0</v>
      </c>
      <c r="W42" s="471">
        <f t="shared" si="30"/>
        <v>0</v>
      </c>
      <c r="X42" s="471">
        <f t="shared" si="30"/>
        <v>0</v>
      </c>
      <c r="Y42" s="471">
        <f t="shared" si="30"/>
        <v>0</v>
      </c>
      <c r="Z42" s="471">
        <f t="shared" si="30"/>
        <v>0</v>
      </c>
      <c r="AA42" s="471">
        <f t="shared" si="30"/>
        <v>0</v>
      </c>
      <c r="AB42" s="471">
        <f t="shared" si="30"/>
        <v>0</v>
      </c>
    </row>
    <row r="43" spans="2:28">
      <c r="B43" s="452" t="s">
        <v>1082</v>
      </c>
      <c r="C43" s="450">
        <v>0</v>
      </c>
      <c r="D43" s="452"/>
      <c r="E43" s="452"/>
      <c r="F43" s="452"/>
      <c r="G43" s="452"/>
      <c r="H43" s="471">
        <f t="shared" ref="H43:AB43" si="31">-$C43*H29</f>
        <v>0</v>
      </c>
      <c r="I43" s="471">
        <f t="shared" si="31"/>
        <v>0</v>
      </c>
      <c r="J43" s="471">
        <f t="shared" si="31"/>
        <v>0</v>
      </c>
      <c r="K43" s="471">
        <f t="shared" si="31"/>
        <v>0</v>
      </c>
      <c r="L43" s="471">
        <f t="shared" si="31"/>
        <v>0</v>
      </c>
      <c r="M43" s="471">
        <f t="shared" si="31"/>
        <v>0</v>
      </c>
      <c r="N43" s="471">
        <f t="shared" si="31"/>
        <v>0</v>
      </c>
      <c r="O43" s="471">
        <f t="shared" si="31"/>
        <v>0</v>
      </c>
      <c r="P43" s="471">
        <f t="shared" si="31"/>
        <v>0</v>
      </c>
      <c r="Q43" s="471">
        <f t="shared" si="31"/>
        <v>0</v>
      </c>
      <c r="R43" s="471">
        <f t="shared" si="31"/>
        <v>0</v>
      </c>
      <c r="S43" s="471">
        <f t="shared" si="31"/>
        <v>0</v>
      </c>
      <c r="T43" s="471">
        <f t="shared" si="31"/>
        <v>0</v>
      </c>
      <c r="U43" s="471">
        <f t="shared" si="31"/>
        <v>0</v>
      </c>
      <c r="V43" s="471">
        <f t="shared" si="31"/>
        <v>0</v>
      </c>
      <c r="W43" s="471">
        <f t="shared" si="31"/>
        <v>0</v>
      </c>
      <c r="X43" s="471">
        <f t="shared" si="31"/>
        <v>0</v>
      </c>
      <c r="Y43" s="471">
        <f t="shared" si="31"/>
        <v>0</v>
      </c>
      <c r="Z43" s="471">
        <f t="shared" si="31"/>
        <v>0</v>
      </c>
      <c r="AA43" s="471">
        <f t="shared" si="31"/>
        <v>0</v>
      </c>
      <c r="AB43" s="471">
        <f t="shared" si="31"/>
        <v>0</v>
      </c>
    </row>
    <row r="44" spans="2:28">
      <c r="C44" s="452"/>
      <c r="D44" s="452"/>
      <c r="E44" s="452"/>
      <c r="F44" s="452"/>
      <c r="G44" s="452"/>
      <c r="H44" s="452"/>
      <c r="Q44" s="452"/>
      <c r="R44" s="452"/>
      <c r="S44" s="452"/>
      <c r="T44" s="452"/>
    </row>
    <row r="45" spans="2:28">
      <c r="B45" s="452"/>
      <c r="C45" s="452"/>
      <c r="D45" s="452"/>
      <c r="E45" s="452"/>
      <c r="F45" s="452"/>
      <c r="G45" s="452"/>
      <c r="H45" s="452"/>
      <c r="Q45" s="452"/>
      <c r="R45" s="452"/>
      <c r="S45" s="452"/>
      <c r="T45" s="452"/>
    </row>
    <row r="46" spans="2:28">
      <c r="B46" s="480" t="s">
        <v>651</v>
      </c>
      <c r="C46" s="452"/>
      <c r="D46" s="452"/>
      <c r="E46" s="452"/>
      <c r="F46" s="452"/>
      <c r="G46" s="452"/>
      <c r="H46" s="452"/>
      <c r="Q46" s="452"/>
      <c r="R46" s="452"/>
      <c r="S46" s="452"/>
      <c r="T46" s="452"/>
    </row>
    <row r="47" spans="2:28">
      <c r="B47" s="452" t="s">
        <v>1178</v>
      </c>
      <c r="C47" s="450">
        <v>150000</v>
      </c>
      <c r="D47" s="452"/>
      <c r="E47" s="471">
        <v>0</v>
      </c>
      <c r="F47" s="471">
        <f t="shared" ref="F47:AB47" si="32">-$C47</f>
        <v>-150000</v>
      </c>
      <c r="G47" s="471">
        <f t="shared" si="32"/>
        <v>-150000</v>
      </c>
      <c r="H47" s="471">
        <f t="shared" si="32"/>
        <v>-150000</v>
      </c>
      <c r="I47" s="471">
        <f t="shared" si="32"/>
        <v>-150000</v>
      </c>
      <c r="J47" s="471">
        <f t="shared" si="32"/>
        <v>-150000</v>
      </c>
      <c r="K47" s="471">
        <f t="shared" si="32"/>
        <v>-150000</v>
      </c>
      <c r="L47" s="471">
        <f t="shared" si="32"/>
        <v>-150000</v>
      </c>
      <c r="M47" s="471">
        <f t="shared" si="32"/>
        <v>-150000</v>
      </c>
      <c r="N47" s="471">
        <f t="shared" si="32"/>
        <v>-150000</v>
      </c>
      <c r="O47" s="471">
        <f t="shared" si="32"/>
        <v>-150000</v>
      </c>
      <c r="P47" s="471">
        <f t="shared" si="32"/>
        <v>-150000</v>
      </c>
      <c r="Q47" s="471">
        <f t="shared" si="32"/>
        <v>-150000</v>
      </c>
      <c r="R47" s="471">
        <f t="shared" si="32"/>
        <v>-150000</v>
      </c>
      <c r="S47" s="471">
        <f t="shared" si="32"/>
        <v>-150000</v>
      </c>
      <c r="T47" s="471">
        <f t="shared" si="32"/>
        <v>-150000</v>
      </c>
      <c r="U47" s="471">
        <f t="shared" si="32"/>
        <v>-150000</v>
      </c>
      <c r="V47" s="471">
        <f t="shared" si="32"/>
        <v>-150000</v>
      </c>
      <c r="W47" s="471">
        <f t="shared" si="32"/>
        <v>-150000</v>
      </c>
      <c r="X47" s="471">
        <f t="shared" si="32"/>
        <v>-150000</v>
      </c>
      <c r="Y47" s="471">
        <f t="shared" si="32"/>
        <v>-150000</v>
      </c>
      <c r="Z47" s="471">
        <f t="shared" si="32"/>
        <v>-150000</v>
      </c>
      <c r="AA47" s="471">
        <f t="shared" si="32"/>
        <v>-150000</v>
      </c>
      <c r="AB47" s="471">
        <f t="shared" si="32"/>
        <v>-150000</v>
      </c>
    </row>
    <row r="48" spans="2:28">
      <c r="B48" s="452" t="s">
        <v>653</v>
      </c>
      <c r="C48" s="450">
        <v>90000</v>
      </c>
      <c r="D48" s="452"/>
      <c r="E48" s="471">
        <v>0</v>
      </c>
      <c r="F48" s="471">
        <f t="shared" ref="F48:AB48" si="33">-$C$48/12</f>
        <v>-7500</v>
      </c>
      <c r="G48" s="471">
        <f t="shared" si="33"/>
        <v>-7500</v>
      </c>
      <c r="H48" s="471">
        <f t="shared" si="33"/>
        <v>-7500</v>
      </c>
      <c r="I48" s="471">
        <f t="shared" si="33"/>
        <v>-7500</v>
      </c>
      <c r="J48" s="471">
        <f t="shared" si="33"/>
        <v>-7500</v>
      </c>
      <c r="K48" s="471">
        <f t="shared" si="33"/>
        <v>-7500</v>
      </c>
      <c r="L48" s="471">
        <f t="shared" si="33"/>
        <v>-7500</v>
      </c>
      <c r="M48" s="471">
        <f t="shared" si="33"/>
        <v>-7500</v>
      </c>
      <c r="N48" s="471">
        <f t="shared" si="33"/>
        <v>-7500</v>
      </c>
      <c r="O48" s="471">
        <f t="shared" si="33"/>
        <v>-7500</v>
      </c>
      <c r="P48" s="471">
        <f t="shared" si="33"/>
        <v>-7500</v>
      </c>
      <c r="Q48" s="471">
        <f t="shared" si="33"/>
        <v>-7500</v>
      </c>
      <c r="R48" s="471">
        <f t="shared" si="33"/>
        <v>-7500</v>
      </c>
      <c r="S48" s="471">
        <f t="shared" si="33"/>
        <v>-7500</v>
      </c>
      <c r="T48" s="471">
        <f t="shared" si="33"/>
        <v>-7500</v>
      </c>
      <c r="U48" s="471">
        <f t="shared" si="33"/>
        <v>-7500</v>
      </c>
      <c r="V48" s="471">
        <f t="shared" si="33"/>
        <v>-7500</v>
      </c>
      <c r="W48" s="471">
        <f t="shared" si="33"/>
        <v>-7500</v>
      </c>
      <c r="X48" s="471">
        <f t="shared" si="33"/>
        <v>-7500</v>
      </c>
      <c r="Y48" s="471">
        <f t="shared" si="33"/>
        <v>-7500</v>
      </c>
      <c r="Z48" s="471">
        <f t="shared" si="33"/>
        <v>-7500</v>
      </c>
      <c r="AA48" s="471">
        <f t="shared" si="33"/>
        <v>-7500</v>
      </c>
      <c r="AB48" s="471">
        <f t="shared" si="33"/>
        <v>-7500</v>
      </c>
    </row>
    <row r="49" spans="1:28">
      <c r="B49" s="452" t="s">
        <v>809</v>
      </c>
      <c r="C49" s="450">
        <v>550000</v>
      </c>
      <c r="D49" s="452"/>
      <c r="E49" s="471">
        <f>0/12</f>
        <v>0</v>
      </c>
      <c r="F49" s="471">
        <f t="shared" ref="F49:T50" si="34">-$C49</f>
        <v>-550000</v>
      </c>
      <c r="G49" s="471">
        <f t="shared" si="34"/>
        <v>-550000</v>
      </c>
      <c r="H49" s="471">
        <f t="shared" si="34"/>
        <v>-550000</v>
      </c>
      <c r="I49" s="471">
        <f t="shared" si="34"/>
        <v>-550000</v>
      </c>
      <c r="J49" s="471">
        <f t="shared" si="34"/>
        <v>-550000</v>
      </c>
      <c r="K49" s="471">
        <f t="shared" si="34"/>
        <v>-550000</v>
      </c>
      <c r="L49" s="471">
        <f t="shared" si="34"/>
        <v>-550000</v>
      </c>
      <c r="M49" s="471">
        <f t="shared" si="34"/>
        <v>-550000</v>
      </c>
      <c r="N49" s="471">
        <f t="shared" si="34"/>
        <v>-550000</v>
      </c>
      <c r="O49" s="471">
        <f t="shared" si="34"/>
        <v>-550000</v>
      </c>
      <c r="P49" s="471">
        <f t="shared" si="34"/>
        <v>-550000</v>
      </c>
      <c r="Q49" s="471">
        <f t="shared" si="34"/>
        <v>-550000</v>
      </c>
      <c r="R49" s="471">
        <f t="shared" si="34"/>
        <v>-550000</v>
      </c>
      <c r="S49" s="471">
        <f t="shared" si="34"/>
        <v>-550000</v>
      </c>
      <c r="T49" s="471">
        <f t="shared" si="34"/>
        <v>-550000</v>
      </c>
      <c r="U49" s="471">
        <f t="shared" ref="U49:AB50" si="35">-$C49</f>
        <v>-550000</v>
      </c>
      <c r="V49" s="471">
        <f t="shared" si="35"/>
        <v>-550000</v>
      </c>
      <c r="W49" s="471">
        <f t="shared" si="35"/>
        <v>-550000</v>
      </c>
      <c r="X49" s="471">
        <f t="shared" si="35"/>
        <v>-550000</v>
      </c>
      <c r="Y49" s="471">
        <f t="shared" si="35"/>
        <v>-550000</v>
      </c>
      <c r="Z49" s="471">
        <f t="shared" si="35"/>
        <v>-550000</v>
      </c>
      <c r="AA49" s="471">
        <f t="shared" si="35"/>
        <v>-550000</v>
      </c>
      <c r="AB49" s="471">
        <f t="shared" si="35"/>
        <v>-550000</v>
      </c>
    </row>
    <row r="50" spans="1:28">
      <c r="B50" s="452" t="s">
        <v>1177</v>
      </c>
      <c r="C50" s="450">
        <v>120000</v>
      </c>
      <c r="D50" s="452"/>
      <c r="E50" s="471">
        <f>0</f>
        <v>0</v>
      </c>
      <c r="F50" s="471">
        <f t="shared" si="34"/>
        <v>-120000</v>
      </c>
      <c r="G50" s="471">
        <f t="shared" si="34"/>
        <v>-120000</v>
      </c>
      <c r="H50" s="471">
        <f t="shared" si="34"/>
        <v>-120000</v>
      </c>
      <c r="I50" s="471">
        <f t="shared" si="34"/>
        <v>-120000</v>
      </c>
      <c r="J50" s="471">
        <f t="shared" si="34"/>
        <v>-120000</v>
      </c>
      <c r="K50" s="471">
        <f t="shared" si="34"/>
        <v>-120000</v>
      </c>
      <c r="L50" s="471">
        <f t="shared" si="34"/>
        <v>-120000</v>
      </c>
      <c r="M50" s="471">
        <f t="shared" si="34"/>
        <v>-120000</v>
      </c>
      <c r="N50" s="471">
        <f t="shared" si="34"/>
        <v>-120000</v>
      </c>
      <c r="O50" s="471">
        <f t="shared" si="34"/>
        <v>-120000</v>
      </c>
      <c r="P50" s="471">
        <f t="shared" si="34"/>
        <v>-120000</v>
      </c>
      <c r="Q50" s="471">
        <f t="shared" si="34"/>
        <v>-120000</v>
      </c>
      <c r="R50" s="471">
        <f t="shared" si="34"/>
        <v>-120000</v>
      </c>
      <c r="S50" s="471">
        <f t="shared" si="34"/>
        <v>-120000</v>
      </c>
      <c r="T50" s="471">
        <f t="shared" si="34"/>
        <v>-120000</v>
      </c>
      <c r="U50" s="471">
        <f t="shared" si="35"/>
        <v>-120000</v>
      </c>
      <c r="V50" s="471">
        <f t="shared" si="35"/>
        <v>-120000</v>
      </c>
      <c r="W50" s="471">
        <f t="shared" si="35"/>
        <v>-120000</v>
      </c>
      <c r="X50" s="471">
        <f t="shared" si="35"/>
        <v>-120000</v>
      </c>
      <c r="Y50" s="471">
        <f t="shared" si="35"/>
        <v>-120000</v>
      </c>
      <c r="Z50" s="471">
        <f t="shared" si="35"/>
        <v>-120000</v>
      </c>
      <c r="AA50" s="471">
        <f t="shared" si="35"/>
        <v>-120000</v>
      </c>
      <c r="AB50" s="471">
        <f t="shared" si="35"/>
        <v>-120000</v>
      </c>
    </row>
    <row r="51" spans="1:28">
      <c r="B51" s="452" t="s">
        <v>1179</v>
      </c>
      <c r="C51" s="450">
        <v>143435220</v>
      </c>
      <c r="D51" s="452"/>
      <c r="E51" s="471">
        <v>0</v>
      </c>
      <c r="F51" s="471">
        <f>-$C51/12</f>
        <v>-11952935</v>
      </c>
      <c r="G51" s="471">
        <f t="shared" ref="G51:AB51" si="36">-$C51/12</f>
        <v>-11952935</v>
      </c>
      <c r="H51" s="471">
        <f t="shared" si="36"/>
        <v>-11952935</v>
      </c>
      <c r="I51" s="471">
        <f t="shared" si="36"/>
        <v>-11952935</v>
      </c>
      <c r="J51" s="471">
        <f t="shared" si="36"/>
        <v>-11952935</v>
      </c>
      <c r="K51" s="471">
        <f t="shared" si="36"/>
        <v>-11952935</v>
      </c>
      <c r="L51" s="471">
        <f t="shared" si="36"/>
        <v>-11952935</v>
      </c>
      <c r="M51" s="471">
        <f t="shared" si="36"/>
        <v>-11952935</v>
      </c>
      <c r="N51" s="471">
        <f t="shared" si="36"/>
        <v>-11952935</v>
      </c>
      <c r="O51" s="471">
        <f t="shared" si="36"/>
        <v>-11952935</v>
      </c>
      <c r="P51" s="471">
        <f t="shared" si="36"/>
        <v>-11952935</v>
      </c>
      <c r="Q51" s="471">
        <f t="shared" si="36"/>
        <v>-11952935</v>
      </c>
      <c r="R51" s="471">
        <f t="shared" si="36"/>
        <v>-11952935</v>
      </c>
      <c r="S51" s="471">
        <f t="shared" si="36"/>
        <v>-11952935</v>
      </c>
      <c r="T51" s="471">
        <f t="shared" si="36"/>
        <v>-11952935</v>
      </c>
      <c r="U51" s="471">
        <f t="shared" si="36"/>
        <v>-11952935</v>
      </c>
      <c r="V51" s="471">
        <f t="shared" si="36"/>
        <v>-11952935</v>
      </c>
      <c r="W51" s="471">
        <f t="shared" si="36"/>
        <v>-11952935</v>
      </c>
      <c r="X51" s="471">
        <f t="shared" si="36"/>
        <v>-11952935</v>
      </c>
      <c r="Y51" s="471">
        <f t="shared" si="36"/>
        <v>-11952935</v>
      </c>
      <c r="Z51" s="471">
        <f t="shared" si="36"/>
        <v>-11952935</v>
      </c>
      <c r="AA51" s="471">
        <f t="shared" si="36"/>
        <v>-11952935</v>
      </c>
      <c r="AB51" s="471">
        <f t="shared" si="36"/>
        <v>-11952935</v>
      </c>
    </row>
    <row r="52" spans="1:28">
      <c r="B52" s="452"/>
      <c r="C52" s="452"/>
      <c r="D52" s="452"/>
      <c r="E52" s="452"/>
      <c r="F52" s="452"/>
      <c r="G52" s="452"/>
      <c r="H52" s="452"/>
      <c r="Q52" s="452"/>
      <c r="R52" s="452"/>
      <c r="S52" s="452"/>
      <c r="T52" s="452"/>
    </row>
    <row r="53" spans="1:28">
      <c r="B53" s="480" t="s">
        <v>654</v>
      </c>
      <c r="C53" s="481">
        <v>0</v>
      </c>
      <c r="D53" s="452"/>
      <c r="E53" s="471">
        <f>-$C$53</f>
        <v>0</v>
      </c>
      <c r="F53" s="471">
        <f t="shared" ref="F53:AB53" si="37">-$C$53</f>
        <v>0</v>
      </c>
      <c r="G53" s="471">
        <f t="shared" si="37"/>
        <v>0</v>
      </c>
      <c r="H53" s="471">
        <f t="shared" si="37"/>
        <v>0</v>
      </c>
      <c r="I53" s="471">
        <f t="shared" si="37"/>
        <v>0</v>
      </c>
      <c r="J53" s="471">
        <f t="shared" si="37"/>
        <v>0</v>
      </c>
      <c r="K53" s="471">
        <f t="shared" si="37"/>
        <v>0</v>
      </c>
      <c r="L53" s="471">
        <f t="shared" si="37"/>
        <v>0</v>
      </c>
      <c r="M53" s="471">
        <f t="shared" si="37"/>
        <v>0</v>
      </c>
      <c r="N53" s="471">
        <f t="shared" si="37"/>
        <v>0</v>
      </c>
      <c r="O53" s="471">
        <f t="shared" si="37"/>
        <v>0</v>
      </c>
      <c r="P53" s="471">
        <f t="shared" si="37"/>
        <v>0</v>
      </c>
      <c r="Q53" s="471">
        <f>-$C$53</f>
        <v>0</v>
      </c>
      <c r="R53" s="471">
        <f t="shared" si="37"/>
        <v>0</v>
      </c>
      <c r="S53" s="471">
        <f t="shared" si="37"/>
        <v>0</v>
      </c>
      <c r="T53" s="471">
        <f t="shared" si="37"/>
        <v>0</v>
      </c>
      <c r="U53" s="471">
        <f t="shared" si="37"/>
        <v>0</v>
      </c>
      <c r="V53" s="471">
        <f t="shared" si="37"/>
        <v>0</v>
      </c>
      <c r="W53" s="471">
        <f t="shared" si="37"/>
        <v>0</v>
      </c>
      <c r="X53" s="471">
        <f t="shared" si="37"/>
        <v>0</v>
      </c>
      <c r="Y53" s="471">
        <f t="shared" si="37"/>
        <v>0</v>
      </c>
      <c r="Z53" s="471">
        <f t="shared" si="37"/>
        <v>0</v>
      </c>
      <c r="AA53" s="471">
        <f t="shared" si="37"/>
        <v>0</v>
      </c>
      <c r="AB53" s="471">
        <f t="shared" si="37"/>
        <v>0</v>
      </c>
    </row>
    <row r="54" spans="1:28">
      <c r="B54" s="452" t="s">
        <v>1176</v>
      </c>
      <c r="C54" s="450">
        <f>330000*1.4*13</f>
        <v>6005999.9999999991</v>
      </c>
      <c r="D54" s="452"/>
      <c r="E54" s="452"/>
      <c r="F54" s="1033">
        <f>-$C$54/12</f>
        <v>-500499.99999999994</v>
      </c>
      <c r="G54" s="1033">
        <f t="shared" ref="G54:AB55" si="38">-$C$54</f>
        <v>-6005999.9999999991</v>
      </c>
      <c r="H54" s="1033">
        <f t="shared" si="38"/>
        <v>-6005999.9999999991</v>
      </c>
      <c r="I54" s="1033">
        <f t="shared" si="38"/>
        <v>-6005999.9999999991</v>
      </c>
      <c r="J54" s="1033">
        <f t="shared" si="38"/>
        <v>-6005999.9999999991</v>
      </c>
      <c r="K54" s="1033">
        <f t="shared" si="38"/>
        <v>-6005999.9999999991</v>
      </c>
      <c r="L54" s="1033">
        <f t="shared" si="38"/>
        <v>-6005999.9999999991</v>
      </c>
      <c r="M54" s="1033">
        <f t="shared" si="38"/>
        <v>-6005999.9999999991</v>
      </c>
      <c r="N54" s="1033">
        <f t="shared" si="38"/>
        <v>-6005999.9999999991</v>
      </c>
      <c r="O54" s="1033">
        <f t="shared" si="38"/>
        <v>-6005999.9999999991</v>
      </c>
      <c r="P54" s="1033">
        <f t="shared" si="38"/>
        <v>-6005999.9999999991</v>
      </c>
      <c r="Q54" s="1033">
        <f t="shared" si="38"/>
        <v>-6005999.9999999991</v>
      </c>
      <c r="R54" s="1033">
        <f t="shared" si="38"/>
        <v>-6005999.9999999991</v>
      </c>
      <c r="S54" s="1033">
        <f t="shared" si="38"/>
        <v>-6005999.9999999991</v>
      </c>
      <c r="T54" s="1033">
        <f t="shared" si="38"/>
        <v>-6005999.9999999991</v>
      </c>
      <c r="U54" s="1033">
        <f t="shared" si="38"/>
        <v>-6005999.9999999991</v>
      </c>
      <c r="V54" s="1033">
        <f t="shared" si="38"/>
        <v>-6005999.9999999991</v>
      </c>
      <c r="W54" s="1033">
        <f t="shared" si="38"/>
        <v>-6005999.9999999991</v>
      </c>
      <c r="X54" s="1033">
        <f t="shared" si="38"/>
        <v>-6005999.9999999991</v>
      </c>
      <c r="Y54" s="1033">
        <f t="shared" si="38"/>
        <v>-6005999.9999999991</v>
      </c>
      <c r="Z54" s="1033">
        <f t="shared" si="38"/>
        <v>-6005999.9999999991</v>
      </c>
      <c r="AA54" s="1033">
        <f t="shared" si="38"/>
        <v>-6005999.9999999991</v>
      </c>
      <c r="AB54" s="1033">
        <f t="shared" si="38"/>
        <v>-6005999.9999999991</v>
      </c>
    </row>
    <row r="55" spans="1:28">
      <c r="B55" s="452" t="s">
        <v>1175</v>
      </c>
      <c r="C55" s="450">
        <f>4*170000*1.4*13</f>
        <v>12375999.999999998</v>
      </c>
      <c r="D55" s="452"/>
      <c r="E55" s="452"/>
      <c r="F55" s="1033">
        <f>-$C$55/12</f>
        <v>-1031333.3333333331</v>
      </c>
      <c r="G55" s="1033">
        <f t="shared" si="38"/>
        <v>-6005999.9999999991</v>
      </c>
      <c r="H55" s="1033">
        <f t="shared" si="38"/>
        <v>-6005999.9999999991</v>
      </c>
      <c r="I55" s="1033">
        <f t="shared" si="38"/>
        <v>-6005999.9999999991</v>
      </c>
      <c r="J55" s="1033">
        <f t="shared" si="38"/>
        <v>-6005999.9999999991</v>
      </c>
      <c r="K55" s="1033">
        <f t="shared" si="38"/>
        <v>-6005999.9999999991</v>
      </c>
      <c r="L55" s="1033">
        <f t="shared" si="38"/>
        <v>-6005999.9999999991</v>
      </c>
      <c r="M55" s="1033">
        <f t="shared" si="38"/>
        <v>-6005999.9999999991</v>
      </c>
      <c r="N55" s="1033">
        <f t="shared" si="38"/>
        <v>-6005999.9999999991</v>
      </c>
      <c r="O55" s="1033">
        <f t="shared" si="38"/>
        <v>-6005999.9999999991</v>
      </c>
      <c r="P55" s="1033">
        <f t="shared" si="38"/>
        <v>-6005999.9999999991</v>
      </c>
      <c r="Q55" s="1033">
        <f t="shared" si="38"/>
        <v>-6005999.9999999991</v>
      </c>
      <c r="R55" s="1033">
        <f t="shared" si="38"/>
        <v>-6005999.9999999991</v>
      </c>
      <c r="S55" s="1033">
        <f t="shared" si="38"/>
        <v>-6005999.9999999991</v>
      </c>
      <c r="T55" s="1033">
        <f t="shared" si="38"/>
        <v>-6005999.9999999991</v>
      </c>
      <c r="U55" s="1033">
        <f t="shared" si="38"/>
        <v>-6005999.9999999991</v>
      </c>
      <c r="V55" s="1033">
        <f t="shared" si="38"/>
        <v>-6005999.9999999991</v>
      </c>
      <c r="W55" s="1033">
        <f t="shared" si="38"/>
        <v>-6005999.9999999991</v>
      </c>
      <c r="X55" s="1033">
        <f t="shared" si="38"/>
        <v>-6005999.9999999991</v>
      </c>
      <c r="Y55" s="1033">
        <f t="shared" si="38"/>
        <v>-6005999.9999999991</v>
      </c>
      <c r="Z55" s="1033">
        <f t="shared" si="38"/>
        <v>-6005999.9999999991</v>
      </c>
      <c r="AA55" s="1033">
        <f t="shared" si="38"/>
        <v>-6005999.9999999991</v>
      </c>
      <c r="AB55" s="1033">
        <f t="shared" si="38"/>
        <v>-6005999.9999999991</v>
      </c>
    </row>
    <row r="56" spans="1:28">
      <c r="B56" s="452"/>
      <c r="C56" s="452"/>
      <c r="D56" s="452"/>
      <c r="E56" s="452"/>
      <c r="F56" s="452"/>
      <c r="G56" s="452"/>
      <c r="H56" s="452"/>
      <c r="Q56" s="452"/>
      <c r="R56" s="452"/>
      <c r="S56" s="452"/>
      <c r="T56" s="452"/>
    </row>
    <row r="57" spans="1:28">
      <c r="B57" s="452" t="s">
        <v>176</v>
      </c>
      <c r="C57" s="452"/>
      <c r="D57" s="452"/>
      <c r="E57" s="482">
        <f>SUM(E27,E32:E35,E38:E44,E47:E51,E53:E55)</f>
        <v>13237231.25</v>
      </c>
      <c r="F57" s="483">
        <f t="shared" ref="F57:AB57" si="39">SUM(F32:F56)+F27</f>
        <v>-74804041.656249985</v>
      </c>
      <c r="G57" s="483">
        <f t="shared" si="39"/>
        <v>7277131.1927083433</v>
      </c>
      <c r="H57" s="483">
        <f t="shared" si="39"/>
        <v>7277131.1927083433</v>
      </c>
      <c r="I57" s="483">
        <f t="shared" si="39"/>
        <v>7277131.1927083433</v>
      </c>
      <c r="J57" s="483">
        <f t="shared" si="39"/>
        <v>7277131.1927083433</v>
      </c>
      <c r="K57" s="483">
        <f t="shared" si="39"/>
        <v>7277131.1927083433</v>
      </c>
      <c r="L57" s="483">
        <f t="shared" si="39"/>
        <v>7277131.1927083433</v>
      </c>
      <c r="M57" s="483">
        <f t="shared" si="39"/>
        <v>7277131.1927083433</v>
      </c>
      <c r="N57" s="483">
        <f t="shared" si="39"/>
        <v>7277131.1927083433</v>
      </c>
      <c r="O57" s="483">
        <f t="shared" si="39"/>
        <v>7277131.1927083433</v>
      </c>
      <c r="P57" s="483">
        <f t="shared" si="39"/>
        <v>7277131.1927083433</v>
      </c>
      <c r="Q57" s="483">
        <f t="shared" si="39"/>
        <v>7277131.1927083433</v>
      </c>
      <c r="R57" s="483">
        <f t="shared" si="39"/>
        <v>7277131.1927083433</v>
      </c>
      <c r="S57" s="483">
        <f t="shared" si="39"/>
        <v>7277131.1927083433</v>
      </c>
      <c r="T57" s="483">
        <f t="shared" si="39"/>
        <v>7277131.1927083433</v>
      </c>
      <c r="U57" s="483">
        <f t="shared" si="39"/>
        <v>7277131.1927083433</v>
      </c>
      <c r="V57" s="483">
        <f t="shared" si="39"/>
        <v>7277131.1927083433</v>
      </c>
      <c r="W57" s="483">
        <f t="shared" si="39"/>
        <v>7277131.1927083433</v>
      </c>
      <c r="X57" s="483">
        <f t="shared" si="39"/>
        <v>7277131.1927083433</v>
      </c>
      <c r="Y57" s="483">
        <f t="shared" si="39"/>
        <v>7277131.1927083433</v>
      </c>
      <c r="Z57" s="483">
        <f t="shared" si="39"/>
        <v>7277131.1927083433</v>
      </c>
      <c r="AA57" s="483">
        <f t="shared" si="39"/>
        <v>7277131.1927083433</v>
      </c>
      <c r="AB57" s="483">
        <f t="shared" si="39"/>
        <v>7277131.1927083433</v>
      </c>
    </row>
    <row r="58" spans="1:28">
      <c r="B58" s="484" t="s">
        <v>657</v>
      </c>
      <c r="C58" s="485"/>
      <c r="D58" s="486"/>
      <c r="E58" s="627">
        <f>E57</f>
        <v>13237231.25</v>
      </c>
      <c r="F58" s="628">
        <f>E58+F57</f>
        <v>-61566810.406249985</v>
      </c>
      <c r="G58" s="628">
        <f t="shared" ref="G58:O58" si="40">F58+G57</f>
        <v>-54289679.213541642</v>
      </c>
      <c r="H58" s="628">
        <f t="shared" si="40"/>
        <v>-47012548.020833299</v>
      </c>
      <c r="I58" s="628">
        <f t="shared" si="40"/>
        <v>-39735416.828124955</v>
      </c>
      <c r="J58" s="628">
        <f t="shared" si="40"/>
        <v>-32458285.635416612</v>
      </c>
      <c r="K58" s="628">
        <f t="shared" si="40"/>
        <v>-25181154.442708269</v>
      </c>
      <c r="L58" s="628">
        <f t="shared" si="40"/>
        <v>-17904023.249999925</v>
      </c>
      <c r="M58" s="628">
        <f t="shared" si="40"/>
        <v>-10626892.057291582</v>
      </c>
      <c r="N58" s="628">
        <f t="shared" si="40"/>
        <v>-3349760.864583239</v>
      </c>
      <c r="O58" s="628">
        <f t="shared" si="40"/>
        <v>3927370.3281251043</v>
      </c>
      <c r="P58" s="628">
        <f>O58+P57</f>
        <v>11204501.520833448</v>
      </c>
      <c r="Q58" s="627">
        <f>P58+Q57</f>
        <v>18481632.713541791</v>
      </c>
      <c r="R58" s="628">
        <f>Q58+R57</f>
        <v>25758763.906250134</v>
      </c>
      <c r="S58" s="628">
        <f t="shared" ref="S58:AB58" si="41">R58+S57</f>
        <v>33035895.098958477</v>
      </c>
      <c r="T58" s="628">
        <f t="shared" si="41"/>
        <v>40313026.291666821</v>
      </c>
      <c r="U58" s="628">
        <f t="shared" si="41"/>
        <v>47590157.484375164</v>
      </c>
      <c r="V58" s="628">
        <f t="shared" si="41"/>
        <v>54867288.677083507</v>
      </c>
      <c r="W58" s="628">
        <f t="shared" si="41"/>
        <v>62144419.86979185</v>
      </c>
      <c r="X58" s="628">
        <f t="shared" si="41"/>
        <v>69421551.062500194</v>
      </c>
      <c r="Y58" s="628">
        <f t="shared" si="41"/>
        <v>76698682.255208537</v>
      </c>
      <c r="Z58" s="628">
        <f t="shared" si="41"/>
        <v>83975813.44791688</v>
      </c>
      <c r="AA58" s="628">
        <f t="shared" si="41"/>
        <v>91252944.640625224</v>
      </c>
      <c r="AB58" s="628">
        <f t="shared" si="41"/>
        <v>98530075.833333567</v>
      </c>
    </row>
    <row r="62" spans="1:28">
      <c r="A62" s="384" t="s">
        <v>658</v>
      </c>
      <c r="E62" s="469"/>
      <c r="F62" s="490"/>
    </row>
    <row r="63" spans="1:28">
      <c r="E63" s="469"/>
      <c r="F63" s="490"/>
    </row>
    <row r="64" spans="1:28" ht="14.25">
      <c r="E64" s="626" t="s">
        <v>659</v>
      </c>
      <c r="F64" s="492">
        <f>MIN(E58:AB58)</f>
        <v>-61566810.406249985</v>
      </c>
      <c r="G64" s="384" t="s">
        <v>660</v>
      </c>
    </row>
    <row r="65" spans="2:11">
      <c r="E65" s="469"/>
      <c r="F65" s="490"/>
    </row>
    <row r="66" spans="2:11" ht="15" customHeight="1">
      <c r="F66" s="493"/>
      <c r="G66" s="384" t="s">
        <v>661</v>
      </c>
    </row>
    <row r="67" spans="2:11" ht="15" customHeight="1">
      <c r="G67" s="384" t="s">
        <v>662</v>
      </c>
    </row>
    <row r="68" spans="2:11" ht="15" customHeight="1">
      <c r="G68" s="384" t="s">
        <v>663</v>
      </c>
    </row>
    <row r="70" spans="2:11" ht="15" customHeight="1">
      <c r="F70" s="384">
        <v>25500</v>
      </c>
      <c r="G70" s="384">
        <v>28050.000000000004</v>
      </c>
      <c r="H70" s="384">
        <v>30855.000000000007</v>
      </c>
      <c r="I70" s="384">
        <v>29620.800000000007</v>
      </c>
      <c r="J70" s="384">
        <v>28435.968000000008</v>
      </c>
    </row>
    <row r="71" spans="2:11" ht="15" customHeight="1">
      <c r="B71" s="384" t="s">
        <v>664</v>
      </c>
      <c r="F71" s="1728" t="s">
        <v>665</v>
      </c>
      <c r="G71" s="1728"/>
      <c r="H71" s="1728"/>
      <c r="I71" s="1728"/>
      <c r="J71" s="1728"/>
    </row>
    <row r="72" spans="2:11" ht="15" customHeight="1" thickBot="1">
      <c r="B72" s="494" t="s">
        <v>666</v>
      </c>
      <c r="C72" s="494"/>
      <c r="D72" s="494"/>
      <c r="E72" s="495"/>
      <c r="F72" s="449" t="s">
        <v>667</v>
      </c>
      <c r="G72" s="494"/>
      <c r="H72" s="494"/>
      <c r="I72" s="494"/>
      <c r="J72" s="494"/>
    </row>
    <row r="73" spans="2:11" ht="15" customHeight="1" thickTop="1" thickBot="1">
      <c r="B73" s="494" t="s">
        <v>668</v>
      </c>
      <c r="C73" s="494"/>
      <c r="D73" s="496">
        <v>120000</v>
      </c>
      <c r="F73" s="494" t="s">
        <v>427</v>
      </c>
      <c r="G73" s="494" t="s">
        <v>177</v>
      </c>
      <c r="H73" s="494" t="s">
        <v>669</v>
      </c>
      <c r="I73" s="494" t="s">
        <v>670</v>
      </c>
      <c r="J73" s="494" t="s">
        <v>671</v>
      </c>
    </row>
    <row r="74" spans="2:11" ht="15" customHeight="1" thickTop="1" thickBot="1">
      <c r="B74" s="494" t="s">
        <v>672</v>
      </c>
      <c r="C74" s="494"/>
      <c r="D74" s="496">
        <v>100000</v>
      </c>
      <c r="F74" s="494">
        <v>0</v>
      </c>
      <c r="G74" s="496">
        <v>0</v>
      </c>
      <c r="H74" s="497">
        <v>0</v>
      </c>
      <c r="I74" s="498">
        <v>0</v>
      </c>
      <c r="J74" s="499">
        <f>F64</f>
        <v>-61566810.406249985</v>
      </c>
      <c r="K74" s="419" t="s">
        <v>1180</v>
      </c>
    </row>
    <row r="75" spans="2:11" ht="15" customHeight="1" thickTop="1" thickBot="1">
      <c r="B75" s="494" t="s">
        <v>674</v>
      </c>
      <c r="C75" s="494"/>
      <c r="D75" s="496">
        <v>80000</v>
      </c>
      <c r="F75" s="494">
        <v>1</v>
      </c>
      <c r="G75" s="797">
        <v>199000</v>
      </c>
      <c r="H75" s="497">
        <v>0</v>
      </c>
      <c r="I75" s="498">
        <f>J74</f>
        <v>-61566810.406249985</v>
      </c>
      <c r="J75" s="500">
        <f>I75*H76</f>
        <v>2165666.6977072884</v>
      </c>
      <c r="K75" s="1219" t="s">
        <v>1181</v>
      </c>
    </row>
    <row r="76" spans="2:11" ht="15" customHeight="1" thickTop="1" thickBot="1">
      <c r="B76" s="494" t="s">
        <v>676</v>
      </c>
      <c r="C76" s="494"/>
      <c r="D76" s="496">
        <v>630000</v>
      </c>
      <c r="F76" s="494">
        <v>2</v>
      </c>
      <c r="G76" s="797">
        <v>192000</v>
      </c>
      <c r="H76" s="497">
        <f>G76/G75-1</f>
        <v>-3.5175879396984966E-2</v>
      </c>
      <c r="I76" s="498">
        <f>I75+J75</f>
        <v>-59401143.708542697</v>
      </c>
      <c r="J76" s="500">
        <f>I76*H77</f>
        <v>-6961071.5283448473</v>
      </c>
      <c r="K76" s="1219" t="s">
        <v>1182</v>
      </c>
    </row>
    <row r="77" spans="2:11" ht="15" customHeight="1" thickTop="1" thickBot="1">
      <c r="B77" s="501"/>
      <c r="C77" s="501" t="s">
        <v>677</v>
      </c>
      <c r="D77" s="496">
        <f>(D73-D74)*(D76/D75)</f>
        <v>157500</v>
      </c>
      <c r="F77" s="494">
        <v>3</v>
      </c>
      <c r="G77" s="797">
        <v>214500</v>
      </c>
      <c r="H77" s="497">
        <f>G77/G76-1</f>
        <v>0.1171875</v>
      </c>
      <c r="I77" s="498">
        <f>I76+J76</f>
        <v>-66362215.236887544</v>
      </c>
      <c r="J77" s="500">
        <f>I77*H78</f>
        <v>2165666.6977072861</v>
      </c>
      <c r="K77" s="1219" t="s">
        <v>1183</v>
      </c>
    </row>
    <row r="78" spans="2:11" ht="15" customHeight="1" thickTop="1">
      <c r="F78" s="494">
        <v>4</v>
      </c>
      <c r="G78" s="797">
        <v>207500</v>
      </c>
      <c r="H78" s="497">
        <f>G78/G77-1</f>
        <v>-3.2634032634032639E-2</v>
      </c>
      <c r="I78" s="498">
        <f>I77+J77</f>
        <v>-64196548.539180256</v>
      </c>
      <c r="J78" s="500">
        <f>I78*H79</f>
        <v>-464071.43522298988</v>
      </c>
      <c r="K78" s="1219" t="s">
        <v>1184</v>
      </c>
    </row>
    <row r="79" spans="2:11" ht="15" customHeight="1">
      <c r="F79" s="494">
        <v>5</v>
      </c>
      <c r="G79" s="797">
        <v>209000</v>
      </c>
      <c r="H79" s="497">
        <f>G79/G78-1</f>
        <v>7.2289156626506035E-3</v>
      </c>
      <c r="I79" s="498">
        <f>I78+J78</f>
        <v>-64660619.974403247</v>
      </c>
      <c r="J79" s="500">
        <f>I79*H80</f>
        <v>0</v>
      </c>
      <c r="K79" s="1219" t="s">
        <v>1185</v>
      </c>
    </row>
    <row r="80" spans="2:11" ht="15" customHeight="1">
      <c r="G80" s="419" t="s">
        <v>678</v>
      </c>
    </row>
    <row r="85" spans="2:13" ht="15" customHeight="1" thickBot="1"/>
    <row r="86" spans="2:13" ht="15" customHeight="1" thickBot="1">
      <c r="B86" s="1729" t="s">
        <v>679</v>
      </c>
      <c r="C86" s="1730"/>
      <c r="D86" s="1730"/>
      <c r="E86" s="1730"/>
      <c r="F86" s="1731"/>
    </row>
    <row r="87" spans="2:13" ht="15" customHeight="1">
      <c r="B87" s="502" t="s">
        <v>680</v>
      </c>
      <c r="C87" s="503" t="s">
        <v>681</v>
      </c>
      <c r="D87" s="503" t="s">
        <v>682</v>
      </c>
      <c r="E87" s="503" t="s">
        <v>683</v>
      </c>
      <c r="F87" s="504" t="s">
        <v>684</v>
      </c>
    </row>
    <row r="88" spans="2:13" ht="15" customHeight="1">
      <c r="B88" s="505" t="s">
        <v>685</v>
      </c>
      <c r="C88" s="506">
        <v>1</v>
      </c>
      <c r="D88" s="507">
        <v>330000</v>
      </c>
      <c r="E88" s="508">
        <v>0.4</v>
      </c>
      <c r="F88" s="509">
        <f>D88*(1+E88)*13*C88</f>
        <v>6005999.9999999991</v>
      </c>
    </row>
    <row r="89" spans="2:13" ht="15" customHeight="1">
      <c r="B89" s="505" t="s">
        <v>686</v>
      </c>
      <c r="C89" s="506">
        <v>4</v>
      </c>
      <c r="D89" s="507">
        <v>170000</v>
      </c>
      <c r="E89" s="510">
        <v>0.4</v>
      </c>
      <c r="F89" s="509">
        <f>D89*(1+E89)*13*C89</f>
        <v>12375999.999999998</v>
      </c>
    </row>
    <row r="90" spans="2:13" ht="15" customHeight="1" thickBot="1">
      <c r="B90" s="511"/>
      <c r="C90" s="512"/>
      <c r="D90" s="513"/>
      <c r="E90" s="512"/>
      <c r="F90" s="514">
        <f>D90*(1+E90)*13*C90</f>
        <v>0</v>
      </c>
    </row>
    <row r="91" spans="2:13" ht="15" customHeight="1" thickBot="1">
      <c r="C91" s="515"/>
      <c r="D91" s="515"/>
      <c r="E91" s="516" t="s">
        <v>176</v>
      </c>
      <c r="F91" s="517">
        <f>SUM(F88:F90)</f>
        <v>18381999.999999996</v>
      </c>
    </row>
    <row r="92" spans="2:13" ht="15" customHeight="1" thickBot="1"/>
    <row r="93" spans="2:13" ht="15" customHeight="1" thickBot="1">
      <c r="B93" s="1732" t="s">
        <v>576</v>
      </c>
      <c r="C93" s="1733"/>
      <c r="D93" s="1733"/>
      <c r="E93" s="1733"/>
      <c r="F93" s="1733"/>
      <c r="G93" s="1733"/>
      <c r="H93" s="1733"/>
      <c r="I93" s="1733"/>
      <c r="J93" s="1733"/>
      <c r="K93" s="1734"/>
    </row>
    <row r="94" spans="2:13" ht="15" customHeight="1">
      <c r="B94" s="518" t="s">
        <v>577</v>
      </c>
      <c r="C94" s="519" t="s">
        <v>578</v>
      </c>
      <c r="D94" s="520" t="s">
        <v>579</v>
      </c>
      <c r="E94" s="520" t="s">
        <v>102</v>
      </c>
      <c r="F94" s="520" t="s">
        <v>580</v>
      </c>
      <c r="G94" s="520" t="s">
        <v>581</v>
      </c>
      <c r="H94" s="520" t="s">
        <v>582</v>
      </c>
      <c r="I94" s="521" t="s">
        <v>583</v>
      </c>
      <c r="J94" s="522" t="s">
        <v>584</v>
      </c>
      <c r="K94" s="518" t="s">
        <v>585</v>
      </c>
      <c r="M94" s="518" t="s">
        <v>586</v>
      </c>
    </row>
    <row r="95" spans="2:13" ht="15" customHeight="1">
      <c r="B95" s="523" t="s">
        <v>587</v>
      </c>
      <c r="C95" s="524">
        <v>580</v>
      </c>
      <c r="D95" s="506" t="s">
        <v>519</v>
      </c>
      <c r="E95" s="525"/>
      <c r="F95" s="525">
        <v>0.2</v>
      </c>
      <c r="G95" s="526">
        <f>1-F95</f>
        <v>0.8</v>
      </c>
      <c r="H95" s="527">
        <f>C95/G95</f>
        <v>725</v>
      </c>
      <c r="I95" s="506">
        <v>5</v>
      </c>
      <c r="J95" s="528">
        <f>I95*H95*(1+E95)</f>
        <v>3625</v>
      </c>
      <c r="K95" s="1735">
        <f>SUM(J95:J99)</f>
        <v>4354.5</v>
      </c>
      <c r="L95" s="1717" t="s">
        <v>588</v>
      </c>
      <c r="M95" s="1718">
        <f>SUM(K95,L99)</f>
        <v>4554.5</v>
      </c>
    </row>
    <row r="96" spans="2:13" ht="15" customHeight="1">
      <c r="B96" s="523" t="s">
        <v>589</v>
      </c>
      <c r="C96" s="524">
        <v>100</v>
      </c>
      <c r="D96" s="506" t="s">
        <v>519</v>
      </c>
      <c r="E96" s="525">
        <v>0.1</v>
      </c>
      <c r="F96" s="525"/>
      <c r="G96" s="526">
        <f>1-F96</f>
        <v>1</v>
      </c>
      <c r="H96" s="527">
        <f>C96/G96</f>
        <v>100</v>
      </c>
      <c r="I96" s="526">
        <v>1</v>
      </c>
      <c r="J96" s="528">
        <f>I96*C96*(1+E96)</f>
        <v>110.00000000000001</v>
      </c>
      <c r="K96" s="1736"/>
      <c r="L96" s="1717"/>
      <c r="M96" s="1718"/>
    </row>
    <row r="97" spans="2:13" ht="15" customHeight="1">
      <c r="B97" s="523" t="s">
        <v>590</v>
      </c>
      <c r="C97" s="524">
        <v>150</v>
      </c>
      <c r="D97" s="506" t="s">
        <v>591</v>
      </c>
      <c r="E97" s="525"/>
      <c r="F97" s="525"/>
      <c r="G97" s="526">
        <f>1-F97</f>
        <v>1</v>
      </c>
      <c r="H97" s="527">
        <f>C97/G97</f>
        <v>150</v>
      </c>
      <c r="I97" s="506">
        <v>0.35</v>
      </c>
      <c r="J97" s="528">
        <f>I97*C97*(1+E97)</f>
        <v>52.5</v>
      </c>
      <c r="K97" s="1736"/>
      <c r="L97" s="1717"/>
      <c r="M97" s="1718"/>
    </row>
    <row r="98" spans="2:13" ht="15" customHeight="1">
      <c r="B98" s="523" t="s">
        <v>592</v>
      </c>
      <c r="C98" s="524">
        <v>63</v>
      </c>
      <c r="D98" s="506" t="s">
        <v>591</v>
      </c>
      <c r="E98" s="525"/>
      <c r="F98" s="525"/>
      <c r="G98" s="526">
        <f>1-F98</f>
        <v>1</v>
      </c>
      <c r="H98" s="527">
        <f>C98/G98</f>
        <v>63</v>
      </c>
      <c r="I98" s="506">
        <v>8</v>
      </c>
      <c r="J98" s="528">
        <f>I98*C98*(1+E98)</f>
        <v>504</v>
      </c>
      <c r="K98" s="1736"/>
      <c r="L98" s="1717"/>
      <c r="M98" s="1718"/>
    </row>
    <row r="99" spans="2:13" ht="15" customHeight="1" thickBot="1">
      <c r="B99" s="529" t="s">
        <v>593</v>
      </c>
      <c r="C99" s="530">
        <v>63</v>
      </c>
      <c r="D99" s="512" t="s">
        <v>594</v>
      </c>
      <c r="E99" s="531"/>
      <c r="F99" s="531"/>
      <c r="G99" s="526">
        <f>1-F99</f>
        <v>1</v>
      </c>
      <c r="H99" s="527">
        <f>C99/G99</f>
        <v>63</v>
      </c>
      <c r="I99" s="512">
        <v>1</v>
      </c>
      <c r="J99" s="528">
        <f>I99*C99*(1+E99)</f>
        <v>63</v>
      </c>
      <c r="K99" s="1737"/>
      <c r="L99" s="532">
        <v>200</v>
      </c>
      <c r="M99" s="1718"/>
    </row>
    <row r="100" spans="2:13" ht="15" customHeight="1">
      <c r="C100" s="419" t="s">
        <v>595</v>
      </c>
      <c r="E100" s="1719" t="s">
        <v>596</v>
      </c>
      <c r="F100" s="1720"/>
      <c r="I100" s="419" t="s">
        <v>595</v>
      </c>
      <c r="L100" s="419" t="s">
        <v>597</v>
      </c>
    </row>
  </sheetData>
  <mergeCells count="12">
    <mergeCell ref="E100:F100"/>
    <mergeCell ref="B2:C4"/>
    <mergeCell ref="E5:P5"/>
    <mergeCell ref="Q5:AB5"/>
    <mergeCell ref="E24:P24"/>
    <mergeCell ref="Q24:AB24"/>
    <mergeCell ref="F71:J71"/>
    <mergeCell ref="B86:F86"/>
    <mergeCell ref="B93:K93"/>
    <mergeCell ref="K95:K99"/>
    <mergeCell ref="L95:L98"/>
    <mergeCell ref="M95:M99"/>
  </mergeCells>
  <phoneticPr fontId="75" type="noConversion"/>
  <conditionalFormatting sqref="B86">
    <cfRule type="containsText" dxfId="7" priority="1" operator="containsText" text="999">
      <formula>NOT(ISERROR(SEARCH(("999"),(B86))))</formula>
    </cfRule>
  </conditionalFormatting>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45ACC-939B-4062-9AC9-4950ECB61A7D}">
  <dimension ref="A2:Y206"/>
  <sheetViews>
    <sheetView topLeftCell="E153" workbookViewId="0">
      <selection activeCell="I156" sqref="I156"/>
    </sheetView>
  </sheetViews>
  <sheetFormatPr defaultRowHeight="12.75"/>
  <cols>
    <col min="1" max="1" width="11.5703125" customWidth="1"/>
    <col min="3" max="3" width="35.42578125" bestFit="1" customWidth="1"/>
    <col min="4" max="4" width="37.28515625" bestFit="1" customWidth="1"/>
    <col min="5" max="5" width="19.5703125" customWidth="1"/>
    <col min="6" max="6" width="23.140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row>
    <row r="11" spans="1:15">
      <c r="A11" s="1745"/>
      <c r="B11" s="1745"/>
    </row>
    <row r="12" spans="1:15">
      <c r="A12" s="1745"/>
      <c r="B12" s="1745"/>
    </row>
    <row r="13" spans="1:15">
      <c r="M13" s="596"/>
      <c r="N13" s="597" t="s">
        <v>506</v>
      </c>
      <c r="O13" s="351"/>
    </row>
    <row r="14" spans="1:15">
      <c r="M14" s="596"/>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3:21">
      <c r="M34" s="351"/>
    </row>
    <row r="35" spans="3:21">
      <c r="O35" s="1755"/>
      <c r="P35" s="1714"/>
      <c r="Q35" s="1714"/>
      <c r="R35" s="1714"/>
      <c r="S35" s="1714"/>
    </row>
    <row r="36" spans="3:21">
      <c r="O36" s="700"/>
      <c r="P36" s="700"/>
      <c r="Q36" s="700"/>
      <c r="R36" s="700"/>
      <c r="S36" s="700"/>
    </row>
    <row r="37" spans="3:21">
      <c r="C37" s="351"/>
      <c r="O37" s="702"/>
      <c r="P37" s="702"/>
      <c r="Q37" s="702"/>
      <c r="R37" s="702"/>
      <c r="S37" s="702"/>
    </row>
    <row r="38" spans="3:21">
      <c r="C38" s="351"/>
    </row>
    <row r="39" spans="3:21">
      <c r="C39" s="351"/>
    </row>
    <row r="40" spans="3:21">
      <c r="C40" s="208"/>
    </row>
    <row r="41" spans="3:21">
      <c r="C41" s="208"/>
      <c r="M41" s="1755"/>
      <c r="N41" s="1755"/>
      <c r="O41" s="1755"/>
      <c r="P41" s="701"/>
      <c r="Q41" s="701"/>
      <c r="R41" s="701"/>
      <c r="S41" s="701"/>
      <c r="T41" s="300"/>
      <c r="U41" s="301"/>
    </row>
    <row r="42" spans="3:21">
      <c r="M42" s="1755"/>
      <c r="N42" s="1714"/>
      <c r="O42" s="1714"/>
    </row>
    <row r="43" spans="3:21">
      <c r="M43" s="700"/>
      <c r="N43" s="700"/>
      <c r="O43" s="700"/>
    </row>
    <row r="44" spans="3:21">
      <c r="M44" s="703"/>
      <c r="N44" s="702"/>
      <c r="O44" s="702"/>
    </row>
    <row r="45" spans="3:21">
      <c r="M45" s="1755"/>
      <c r="N45" s="1714"/>
      <c r="O45" s="1714"/>
    </row>
    <row r="46" spans="3:21">
      <c r="M46" s="700"/>
      <c r="N46" s="701"/>
      <c r="O46" s="701"/>
    </row>
    <row r="47" spans="3:21">
      <c r="M47" s="700"/>
      <c r="N47" s="701"/>
      <c r="O47" s="701"/>
    </row>
    <row r="48" spans="3: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M56" s="697" t="s">
        <v>831</v>
      </c>
      <c r="N56" s="261"/>
    </row>
    <row r="57" spans="4:23" ht="14.25">
      <c r="I57" s="351"/>
      <c r="M57" s="731" t="s">
        <v>832</v>
      </c>
      <c r="N57" s="583"/>
      <c r="U57" s="4"/>
      <c r="V57" s="547"/>
      <c r="W57" s="548"/>
    </row>
    <row r="58" spans="4:23" ht="14.25">
      <c r="I58" s="667"/>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10811.7</v>
      </c>
      <c r="K67" s="693">
        <f>J67*(1+K66)</f>
        <v>8409.1</v>
      </c>
      <c r="L67" s="692">
        <f>K67*(1+L66)</f>
        <v>11212.133333333333</v>
      </c>
      <c r="M67" s="692">
        <f>L67*(1+M66)</f>
        <v>14949.511111111111</v>
      </c>
      <c r="N67" s="692">
        <f>M67*(1+N66)</f>
        <v>19932.681481481479</v>
      </c>
      <c r="U67" s="551"/>
      <c r="V67" s="552"/>
      <c r="W67" s="552"/>
      <c r="X67" s="552"/>
      <c r="Y67" s="553"/>
    </row>
    <row r="68" spans="1:25" ht="15">
      <c r="U68" s="554"/>
      <c r="V68" s="555"/>
      <c r="W68" s="556"/>
      <c r="X68" s="555"/>
      <c r="Y68" s="557"/>
    </row>
    <row r="69" spans="1:25" ht="15">
      <c r="G69" s="697" t="s">
        <v>830</v>
      </c>
      <c r="H69" s="698">
        <f>M86*1.8</f>
        <v>10811.7</v>
      </c>
      <c r="I69" s="695"/>
      <c r="J69" s="694"/>
      <c r="K69" s="695"/>
      <c r="M69" s="259" t="s">
        <v>0</v>
      </c>
      <c r="N69" s="260">
        <v>0.12</v>
      </c>
      <c r="O69" s="261" t="s">
        <v>3</v>
      </c>
      <c r="P69" s="261" t="s">
        <v>3</v>
      </c>
      <c r="U69" s="554"/>
      <c r="V69" s="558"/>
      <c r="W69" s="556"/>
      <c r="X69" s="555"/>
      <c r="Y69" s="557"/>
    </row>
    <row r="70" spans="1:25" ht="15">
      <c r="G70" s="548"/>
      <c r="H70" s="694"/>
      <c r="I70" s="695"/>
      <c r="J70" s="694"/>
      <c r="K70" s="695"/>
      <c r="M70" s="21"/>
      <c r="N70" s="23" t="s">
        <v>3</v>
      </c>
      <c r="O70" s="261">
        <f>(1+N69/6)^6</f>
        <v>1.1261624192640001</v>
      </c>
      <c r="P70" s="266">
        <f>O70-1</f>
        <v>0.12616241926400007</v>
      </c>
      <c r="U70" s="559"/>
      <c r="V70" s="560"/>
      <c r="W70" s="556"/>
      <c r="X70" s="561"/>
      <c r="Y70" s="557"/>
    </row>
    <row r="71" spans="1:25" ht="14.25">
      <c r="A71" s="767" t="s">
        <v>865</v>
      </c>
      <c r="B71" s="767" t="s">
        <v>1121</v>
      </c>
      <c r="C71" s="767"/>
      <c r="D71" s="257"/>
      <c r="G71" s="548"/>
      <c r="H71" s="694"/>
      <c r="I71" s="695"/>
      <c r="J71" s="694"/>
      <c r="K71" s="695"/>
      <c r="M71" s="21"/>
      <c r="N71" s="23"/>
    </row>
    <row r="72" spans="1:25">
      <c r="A72" s="257"/>
      <c r="B72" s="767"/>
      <c r="C72" s="257"/>
      <c r="D72" s="257"/>
      <c r="M72" s="21"/>
      <c r="N72" s="39"/>
    </row>
    <row r="73" spans="1:25" ht="14.25">
      <c r="A73" s="257"/>
      <c r="B73" s="767"/>
      <c r="C73" s="257"/>
      <c r="D73" s="257"/>
      <c r="G73" s="798"/>
      <c r="H73" s="799"/>
      <c r="I73" s="799"/>
      <c r="J73" s="800"/>
      <c r="K73" s="800"/>
      <c r="M73" s="21"/>
      <c r="N73" s="23"/>
    </row>
    <row r="74" spans="1:25" ht="14.25">
      <c r="A74" s="257"/>
      <c r="B74" s="767"/>
      <c r="C74" s="257"/>
      <c r="D74" s="257"/>
      <c r="G74" s="799"/>
      <c r="H74" s="799"/>
      <c r="I74" s="799"/>
      <c r="J74" s="798"/>
      <c r="K74" s="799"/>
    </row>
    <row r="75" spans="1:25" ht="14.25">
      <c r="A75" s="257"/>
      <c r="B75" s="767"/>
      <c r="C75" s="257"/>
      <c r="D75" s="257"/>
      <c r="G75" s="801"/>
      <c r="H75" s="799"/>
      <c r="I75" s="799"/>
      <c r="J75" s="798"/>
      <c r="K75" s="799"/>
      <c r="M75" s="1615" t="s">
        <v>103</v>
      </c>
      <c r="N75" s="1613"/>
      <c r="O75" s="1613"/>
      <c r="P75" s="1613"/>
      <c r="Q75" s="1614"/>
      <c r="S75" s="769"/>
      <c r="T75" s="254"/>
      <c r="U75" s="254"/>
      <c r="V75" s="254"/>
      <c r="W75" s="254"/>
      <c r="X75" s="254"/>
    </row>
    <row r="76" spans="1:25" ht="14.25">
      <c r="E76" s="351" t="s">
        <v>1145</v>
      </c>
      <c r="G76" s="799"/>
      <c r="H76" s="802"/>
      <c r="I76" s="799"/>
      <c r="J76" s="798"/>
      <c r="K76" s="799"/>
      <c r="M76" s="24" t="s">
        <v>105</v>
      </c>
      <c r="N76" s="24" t="s">
        <v>106</v>
      </c>
      <c r="O76" s="24" t="s">
        <v>102</v>
      </c>
      <c r="P76" s="24" t="s">
        <v>134</v>
      </c>
      <c r="Q76" s="24" t="s">
        <v>107</v>
      </c>
      <c r="S76" s="254"/>
      <c r="T76" s="254"/>
      <c r="U76" s="254"/>
      <c r="V76" s="254"/>
      <c r="W76" s="254"/>
      <c r="X76" s="254"/>
    </row>
    <row r="77" spans="1:25" ht="14.25">
      <c r="E77" s="254">
        <v>8700</v>
      </c>
      <c r="G77" s="802"/>
      <c r="H77" s="802"/>
      <c r="I77" s="799"/>
      <c r="J77" s="799"/>
      <c r="K77" s="799"/>
      <c r="M77" s="25"/>
      <c r="N77" s="26"/>
      <c r="O77" s="26"/>
      <c r="P77" s="26"/>
      <c r="Q77" s="26">
        <f>D146</f>
        <v>3300000</v>
      </c>
      <c r="S77" s="254"/>
      <c r="T77" s="254"/>
      <c r="U77" s="254"/>
      <c r="V77" s="254"/>
      <c r="W77" s="254"/>
      <c r="X77" s="254"/>
    </row>
    <row r="78" spans="1:25" ht="14.25">
      <c r="D78" s="351" t="s">
        <v>1135</v>
      </c>
      <c r="E78" s="254">
        <f>E77*0.9</f>
        <v>7830</v>
      </c>
      <c r="G78" s="802"/>
      <c r="H78" s="802"/>
      <c r="I78" s="799"/>
      <c r="J78" s="799"/>
      <c r="K78" s="799"/>
      <c r="M78" s="25">
        <v>1</v>
      </c>
      <c r="N78" s="26">
        <f>P70*Q77/(1-(1+P70)^-5)</f>
        <v>929468.46572007868</v>
      </c>
      <c r="O78" s="26">
        <f>Q77*$P$70</f>
        <v>416335.98357120022</v>
      </c>
      <c r="P78" s="26">
        <f>N78-O78</f>
        <v>513132.48214887845</v>
      </c>
      <c r="Q78" s="26">
        <f>Q77-P78</f>
        <v>2786867.5178511217</v>
      </c>
      <c r="S78" s="254"/>
      <c r="T78" s="254"/>
      <c r="U78" s="254"/>
      <c r="V78" s="254"/>
      <c r="W78" s="254"/>
      <c r="X78" s="254"/>
    </row>
    <row r="79" spans="1:25" ht="14.25">
      <c r="D79" s="351" t="s">
        <v>1136</v>
      </c>
      <c r="E79" s="254">
        <f>E77*0.95</f>
        <v>8265</v>
      </c>
      <c r="G79" s="802"/>
      <c r="H79" s="799"/>
      <c r="I79" s="799"/>
      <c r="J79" s="799"/>
      <c r="K79" s="799"/>
      <c r="M79" s="25">
        <v>2</v>
      </c>
      <c r="N79" s="26">
        <f>P70*Q77/(1-(1+P70)^-5)</f>
        <v>929468.46572007868</v>
      </c>
      <c r="O79" s="26">
        <f>Q78*$P$70</f>
        <v>351597.94822035643</v>
      </c>
      <c r="P79" s="26">
        <f>N79-O79</f>
        <v>577870.51749972231</v>
      </c>
      <c r="Q79" s="26">
        <f>Q78-P79</f>
        <v>2208997.0003513992</v>
      </c>
      <c r="S79" s="254"/>
      <c r="T79" s="254"/>
      <c r="U79" s="254"/>
      <c r="V79" s="254"/>
      <c r="W79" s="254"/>
      <c r="X79" s="254"/>
    </row>
    <row r="80" spans="1:25">
      <c r="G80" s="803"/>
      <c r="H80" s="799"/>
      <c r="I80" s="799"/>
      <c r="J80" s="799"/>
      <c r="K80" s="799"/>
      <c r="M80" s="25">
        <v>3</v>
      </c>
      <c r="N80" s="26">
        <f>P70*Q77/(1-(1+P70)^-5)</f>
        <v>929468.46572007868</v>
      </c>
      <c r="O80" s="26">
        <f>Q79*$P$70</f>
        <v>278692.40571125172</v>
      </c>
      <c r="P80" s="26">
        <f>N80-O80</f>
        <v>650776.0600088269</v>
      </c>
      <c r="Q80" s="26">
        <f>Q79-P80</f>
        <v>1558220.9403425723</v>
      </c>
    </row>
    <row r="81" spans="2:17">
      <c r="G81" s="804"/>
      <c r="H81" s="799"/>
      <c r="I81" s="799"/>
      <c r="J81" s="799"/>
      <c r="K81" s="799"/>
      <c r="M81" s="25">
        <v>4</v>
      </c>
      <c r="N81" s="26">
        <f>P70*Q77/(1-(1+P70)^-5)</f>
        <v>929468.46572007868</v>
      </c>
      <c r="O81" s="26">
        <f>Q80*$P$70</f>
        <v>196588.92358144405</v>
      </c>
      <c r="P81" s="26">
        <f>N81-O81</f>
        <v>732879.5421386346</v>
      </c>
      <c r="Q81" s="26">
        <f>Q80-P81</f>
        <v>825341.39820393769</v>
      </c>
    </row>
    <row r="82" spans="2:17">
      <c r="M82" s="766">
        <v>5</v>
      </c>
      <c r="N82" s="26">
        <f>P70*Q77/(1-(1+P70)^-5)</f>
        <v>929468.46572007868</v>
      </c>
      <c r="O82" s="26">
        <f>Q81*$P$70</f>
        <v>104127.06751614122</v>
      </c>
      <c r="P82" s="26">
        <f>N82-O82</f>
        <v>825341.39820393745</v>
      </c>
      <c r="Q82" s="26">
        <f>Q81-P82</f>
        <v>0</v>
      </c>
    </row>
    <row r="83" spans="2:17" ht="13.5" thickBot="1">
      <c r="M83" s="1785"/>
      <c r="N83" s="1714"/>
      <c r="O83" s="1714"/>
      <c r="P83" s="1714"/>
      <c r="Q83" s="1714"/>
    </row>
    <row r="84" spans="2:17" ht="15" thickBot="1">
      <c r="B84" s="1756" t="s">
        <v>1131</v>
      </c>
      <c r="C84" s="1757"/>
      <c r="D84" s="1757"/>
      <c r="E84" s="1757"/>
      <c r="F84" s="1757"/>
      <c r="G84" s="1757"/>
      <c r="H84" s="1757"/>
      <c r="I84" s="1757"/>
      <c r="J84" s="1757"/>
      <c r="K84" s="1758"/>
      <c r="L84" s="1056"/>
      <c r="M84" s="1056"/>
      <c r="N84" s="2"/>
      <c r="O84" s="2"/>
      <c r="P84" s="2"/>
      <c r="Q84" s="2"/>
    </row>
    <row r="85" spans="2:17" ht="30.75" thickBot="1">
      <c r="B85" s="1116" t="s">
        <v>577</v>
      </c>
      <c r="C85" s="402" t="s">
        <v>578</v>
      </c>
      <c r="D85" s="403" t="s">
        <v>579</v>
      </c>
      <c r="E85" s="403" t="s">
        <v>102</v>
      </c>
      <c r="F85" s="403" t="s">
        <v>580</v>
      </c>
      <c r="G85" s="403" t="s">
        <v>1128</v>
      </c>
      <c r="H85" s="403" t="s">
        <v>582</v>
      </c>
      <c r="I85" s="404" t="s">
        <v>583</v>
      </c>
      <c r="J85" s="405" t="s">
        <v>584</v>
      </c>
      <c r="K85" s="401" t="s">
        <v>585</v>
      </c>
      <c r="L85" s="1056"/>
      <c r="M85" s="401" t="s">
        <v>586</v>
      </c>
      <c r="N85" s="1759" t="s">
        <v>881</v>
      </c>
      <c r="O85" s="1759"/>
      <c r="P85" s="2"/>
      <c r="Q85" s="2"/>
    </row>
    <row r="86" spans="2:17" ht="14.25">
      <c r="B86" s="1115" t="s">
        <v>589</v>
      </c>
      <c r="C86" s="1105">
        <f>400/5</f>
        <v>80</v>
      </c>
      <c r="D86" s="1106" t="s">
        <v>1124</v>
      </c>
      <c r="E86" s="1107"/>
      <c r="F86" s="1107">
        <v>0</v>
      </c>
      <c r="G86" s="1108">
        <f>1+F86</f>
        <v>1</v>
      </c>
      <c r="H86" s="1109">
        <f>C86/G86</f>
        <v>80</v>
      </c>
      <c r="I86" s="1106">
        <v>1.35</v>
      </c>
      <c r="J86" s="1110">
        <f>I86*H86*(1+E86)</f>
        <v>108</v>
      </c>
      <c r="K86" s="1836">
        <f>SUM(J86:J90)</f>
        <v>5891.5</v>
      </c>
      <c r="L86" s="1717" t="s">
        <v>588</v>
      </c>
      <c r="M86" s="1718">
        <f>SUM(K86,L90)</f>
        <v>6006.5</v>
      </c>
      <c r="N86" s="1759"/>
      <c r="O86" s="1759"/>
      <c r="P86" s="2"/>
      <c r="Q86" s="2"/>
    </row>
    <row r="87" spans="2:17" ht="14.25">
      <c r="B87" s="1104" t="s">
        <v>1125</v>
      </c>
      <c r="C87" s="1105">
        <v>150</v>
      </c>
      <c r="D87" s="1106" t="s">
        <v>1126</v>
      </c>
      <c r="E87" s="1107">
        <v>0</v>
      </c>
      <c r="F87" s="1107"/>
      <c r="G87" s="1108">
        <f>1+F87</f>
        <v>1</v>
      </c>
      <c r="H87" s="1109">
        <f>C87/G87</f>
        <v>150</v>
      </c>
      <c r="I87" s="1108">
        <v>0.35</v>
      </c>
      <c r="J87" s="1110">
        <f>I87*H87*(1+E87)</f>
        <v>52.5</v>
      </c>
      <c r="K87" s="1837"/>
      <c r="L87" s="1717"/>
      <c r="M87" s="1718"/>
      <c r="N87" s="1759"/>
      <c r="O87" s="1759"/>
      <c r="P87" s="2"/>
      <c r="Q87" s="2"/>
    </row>
    <row r="88" spans="2:17" ht="14.25">
      <c r="B88" s="1104" t="s">
        <v>587</v>
      </c>
      <c r="C88" s="1105">
        <v>580</v>
      </c>
      <c r="D88" s="1106" t="s">
        <v>1127</v>
      </c>
      <c r="E88" s="1107"/>
      <c r="F88" s="1107">
        <v>0.2</v>
      </c>
      <c r="G88" s="1108">
        <f>1+F88</f>
        <v>1.2</v>
      </c>
      <c r="H88" s="1109">
        <f>C88*G88</f>
        <v>696</v>
      </c>
      <c r="I88" s="1106">
        <v>5</v>
      </c>
      <c r="J88" s="1110">
        <f>I88*H88*(1+E88)</f>
        <v>3480</v>
      </c>
      <c r="K88" s="1837"/>
      <c r="L88" s="1717"/>
      <c r="M88" s="1718"/>
      <c r="N88" s="1759"/>
      <c r="O88" s="1759"/>
      <c r="P88" s="2"/>
      <c r="Q88" s="2"/>
    </row>
    <row r="89" spans="2:17" ht="14.25">
      <c r="B89" s="1104" t="s">
        <v>1129</v>
      </c>
      <c r="C89" s="1105">
        <v>268</v>
      </c>
      <c r="D89" s="1106" t="s">
        <v>591</v>
      </c>
      <c r="E89" s="1107"/>
      <c r="F89" s="1107"/>
      <c r="G89" s="1108">
        <f>1+F89</f>
        <v>1</v>
      </c>
      <c r="H89" s="1109">
        <f>C89/G89</f>
        <v>268</v>
      </c>
      <c r="I89" s="1106">
        <v>8</v>
      </c>
      <c r="J89" s="1110">
        <f>I89*H89*(1+E89)</f>
        <v>2144</v>
      </c>
      <c r="K89" s="1837"/>
      <c r="L89" s="1717"/>
      <c r="M89" s="1718"/>
      <c r="N89" s="1759"/>
      <c r="O89" s="1759"/>
      <c r="P89" s="2"/>
      <c r="Q89" s="2"/>
    </row>
    <row r="90" spans="2:17" ht="15.75" thickBot="1">
      <c r="B90" s="1111" t="s">
        <v>1130</v>
      </c>
      <c r="C90" s="1112">
        <f>63+44</f>
        <v>107</v>
      </c>
      <c r="D90" s="1113" t="s">
        <v>594</v>
      </c>
      <c r="E90" s="1114"/>
      <c r="F90" s="1114"/>
      <c r="G90" s="1108">
        <f>1+F90</f>
        <v>1</v>
      </c>
      <c r="H90" s="1109">
        <f>C90/G90</f>
        <v>107</v>
      </c>
      <c r="I90" s="1113">
        <v>1</v>
      </c>
      <c r="J90" s="1110">
        <f>I90*H90*(1+E90)</f>
        <v>107</v>
      </c>
      <c r="K90" s="1838"/>
      <c r="L90" s="418">
        <v>115</v>
      </c>
      <c r="M90" s="1718"/>
      <c r="N90" s="1759"/>
      <c r="O90" s="1759"/>
      <c r="P90" s="2"/>
      <c r="Q90" s="2"/>
    </row>
    <row r="91" spans="2:17" ht="14.25">
      <c r="B91" s="1056"/>
      <c r="C91" s="419" t="s">
        <v>595</v>
      </c>
      <c r="D91" s="1056"/>
      <c r="E91" s="1719" t="s">
        <v>596</v>
      </c>
      <c r="F91" s="1720"/>
      <c r="I91" s="419" t="s">
        <v>595</v>
      </c>
      <c r="J91" s="1056"/>
      <c r="K91" s="1056"/>
      <c r="L91" s="419" t="s">
        <v>597</v>
      </c>
      <c r="M91" s="1056"/>
      <c r="N91" s="1759"/>
      <c r="O91" s="1759"/>
      <c r="P91" s="2"/>
      <c r="Q91" s="2"/>
    </row>
    <row r="92" spans="2:17" ht="14.25">
      <c r="G92" s="1117"/>
      <c r="H92" s="1118"/>
      <c r="M92" s="2"/>
      <c r="N92" s="2"/>
      <c r="O92" s="2"/>
      <c r="P92" s="2"/>
      <c r="Q92" s="2"/>
    </row>
    <row r="93" spans="2:17">
      <c r="H93" s="255"/>
      <c r="M93" s="2"/>
      <c r="N93" s="2"/>
      <c r="O93" s="2"/>
      <c r="P93" s="2"/>
      <c r="Q93" s="2"/>
    </row>
    <row r="94" spans="2:17" ht="13.5" thickBot="1">
      <c r="M94" s="2"/>
      <c r="N94" s="2"/>
      <c r="O94" s="2"/>
      <c r="P94" s="2"/>
      <c r="Q94" s="2"/>
    </row>
    <row r="95" spans="2:17" ht="34.5" customHeight="1">
      <c r="D95" s="1205" t="s">
        <v>1157</v>
      </c>
      <c r="E95" s="1206"/>
      <c r="F95" s="1207" t="s">
        <v>1154</v>
      </c>
      <c r="G95" s="1208">
        <f>(0.3*(100000))/((1+0.1144)^2)</f>
        <v>24156.780209116547</v>
      </c>
      <c r="I95" s="1842" t="s">
        <v>1160</v>
      </c>
      <c r="J95" s="1842"/>
      <c r="K95" s="1842"/>
      <c r="L95" s="1842"/>
      <c r="M95" s="2"/>
      <c r="N95" s="2"/>
      <c r="O95" s="2"/>
      <c r="P95" s="2"/>
      <c r="Q95" s="2"/>
    </row>
    <row r="96" spans="2:17" ht="13.5" customHeight="1">
      <c r="D96" s="1209"/>
      <c r="E96" s="257"/>
      <c r="F96" s="257"/>
      <c r="G96" s="1210" t="s">
        <v>1155</v>
      </c>
      <c r="M96" s="4"/>
      <c r="N96" s="5"/>
      <c r="O96" s="5"/>
      <c r="P96" s="5"/>
      <c r="Q96" s="5"/>
    </row>
    <row r="97" spans="3:22" ht="13.5" thickBot="1">
      <c r="D97" s="1211"/>
      <c r="E97" s="1212"/>
      <c r="F97" s="1212"/>
      <c r="G97" s="1213" t="s">
        <v>1156</v>
      </c>
      <c r="M97" s="4"/>
      <c r="N97" s="5"/>
      <c r="O97" s="5"/>
      <c r="P97" s="5"/>
      <c r="Q97" s="5"/>
    </row>
    <row r="98" spans="3:22" ht="13.5" thickBot="1">
      <c r="D98" s="1839" t="s">
        <v>1159</v>
      </c>
      <c r="E98" s="1840"/>
      <c r="F98" s="1840"/>
      <c r="G98" s="1841"/>
      <c r="M98" s="4"/>
      <c r="N98" s="5"/>
      <c r="O98" s="5"/>
      <c r="P98" s="5"/>
      <c r="Q98" s="5"/>
    </row>
    <row r="99" spans="3:22">
      <c r="H99" s="254"/>
      <c r="M99" s="4"/>
      <c r="N99" s="5"/>
      <c r="O99" s="5"/>
      <c r="P99" s="5"/>
      <c r="Q99" s="5"/>
    </row>
    <row r="101" spans="3:22">
      <c r="C101" s="272" t="s">
        <v>365</v>
      </c>
      <c r="D101" s="25"/>
      <c r="E101" s="595">
        <v>199000</v>
      </c>
      <c r="F101" s="595">
        <v>192000</v>
      </c>
      <c r="G101" s="595">
        <v>214500</v>
      </c>
      <c r="H101" s="595">
        <v>207500</v>
      </c>
      <c r="I101" s="595">
        <v>209000</v>
      </c>
      <c r="P101" s="272"/>
      <c r="Q101" s="25"/>
      <c r="R101" s="25"/>
      <c r="S101" s="25"/>
      <c r="T101" s="25"/>
      <c r="U101" s="25"/>
      <c r="V101" s="25"/>
    </row>
    <row r="102" spans="3:22">
      <c r="C102" s="27" t="s">
        <v>361</v>
      </c>
      <c r="D102" s="27" t="s">
        <v>112</v>
      </c>
      <c r="E102" s="27" t="s">
        <v>113</v>
      </c>
      <c r="F102" s="27" t="s">
        <v>114</v>
      </c>
      <c r="G102" s="27" t="s">
        <v>115</v>
      </c>
      <c r="H102" s="27" t="s">
        <v>116</v>
      </c>
      <c r="I102" s="27" t="s">
        <v>117</v>
      </c>
      <c r="P102" s="27"/>
      <c r="Q102" s="27"/>
      <c r="R102" s="27"/>
      <c r="S102" s="27"/>
      <c r="T102" s="27"/>
      <c r="U102" s="27"/>
      <c r="V102" s="27"/>
    </row>
    <row r="103" spans="3:22">
      <c r="C103" s="269" t="s">
        <v>118</v>
      </c>
      <c r="D103" s="270"/>
      <c r="E103" s="270"/>
      <c r="F103" s="270"/>
      <c r="G103" s="270"/>
      <c r="H103" s="270"/>
      <c r="I103" s="270"/>
      <c r="P103" s="269"/>
      <c r="Q103" s="270"/>
      <c r="R103" s="270"/>
      <c r="S103" s="270"/>
      <c r="T103" s="270"/>
      <c r="U103" s="270"/>
      <c r="V103" s="270"/>
    </row>
    <row r="104" spans="3:22">
      <c r="C104" s="25" t="s">
        <v>1143</v>
      </c>
      <c r="D104" s="752"/>
      <c r="E104" s="752">
        <f>8700*0.9*E101*0.65</f>
        <v>1012810500</v>
      </c>
      <c r="F104" s="752">
        <f>8800*0.9*F101</f>
        <v>1520640000</v>
      </c>
      <c r="G104" s="752">
        <f>8700*0.9*G101</f>
        <v>1679535000</v>
      </c>
      <c r="H104" s="752">
        <f>8900*0.9*H101</f>
        <v>1662075000</v>
      </c>
      <c r="I104" s="752">
        <f>9000*0.9*I101</f>
        <v>1692900000</v>
      </c>
      <c r="P104" s="25"/>
      <c r="Q104" s="26"/>
      <c r="R104" s="26"/>
      <c r="S104" s="26"/>
      <c r="T104" s="26"/>
      <c r="U104" s="26"/>
      <c r="V104" s="26"/>
    </row>
    <row r="105" spans="3:22">
      <c r="C105" s="25" t="s">
        <v>1144</v>
      </c>
      <c r="D105" s="752"/>
      <c r="E105" s="752">
        <f>8700*0.95*E101*0.35</f>
        <v>575657250</v>
      </c>
      <c r="F105" s="752">
        <f>8800*0.95*F101*0.35</f>
        <v>561792000</v>
      </c>
      <c r="G105" s="752">
        <f>8700*0.95*G101*0.35</f>
        <v>620494875</v>
      </c>
      <c r="H105" s="752">
        <f>8900*0.95*H101*0.35</f>
        <v>614044375</v>
      </c>
      <c r="I105" s="752">
        <f>9000*0.95*I101*0.35</f>
        <v>625432500</v>
      </c>
      <c r="P105" s="25"/>
      <c r="Q105" s="26"/>
      <c r="R105" s="26"/>
      <c r="S105" s="26"/>
      <c r="T105" s="26"/>
      <c r="U105" s="26"/>
      <c r="V105" s="26"/>
    </row>
    <row r="106" spans="3:22">
      <c r="C106" s="25" t="s">
        <v>867</v>
      </c>
      <c r="D106" s="752"/>
      <c r="E106" s="752"/>
      <c r="F106" s="752"/>
      <c r="G106" s="752"/>
      <c r="H106" s="752"/>
      <c r="I106" s="752"/>
      <c r="P106" s="25"/>
      <c r="Q106" s="26"/>
      <c r="R106" s="26"/>
      <c r="S106" s="26"/>
      <c r="T106" s="26"/>
      <c r="U106" s="26"/>
      <c r="V106" s="26"/>
    </row>
    <row r="107" spans="3:22">
      <c r="C107" s="25"/>
      <c r="D107" s="752"/>
      <c r="E107" s="752"/>
      <c r="F107" s="752"/>
      <c r="G107" s="752"/>
      <c r="H107" s="752"/>
      <c r="I107" s="752"/>
      <c r="P107" s="25"/>
      <c r="Q107" s="26"/>
      <c r="R107" s="26"/>
      <c r="S107" s="26"/>
      <c r="T107" s="26"/>
      <c r="U107" s="26"/>
      <c r="V107" s="26"/>
    </row>
    <row r="108" spans="3:22">
      <c r="C108" s="25" t="s">
        <v>874</v>
      </c>
      <c r="D108" s="752"/>
      <c r="E108" s="752"/>
      <c r="F108" s="752"/>
      <c r="G108" s="752"/>
      <c r="H108" s="752"/>
      <c r="I108" s="753"/>
      <c r="P108" s="25"/>
      <c r="Q108" s="26"/>
      <c r="R108" s="26"/>
      <c r="S108" s="26"/>
      <c r="T108" s="26"/>
      <c r="U108" s="26"/>
      <c r="V108" s="280"/>
    </row>
    <row r="109" spans="3:22">
      <c r="C109" s="25"/>
      <c r="D109" s="752"/>
      <c r="E109" s="752"/>
      <c r="F109" s="752"/>
      <c r="G109" s="752"/>
      <c r="H109" s="752"/>
      <c r="I109" s="753"/>
      <c r="P109" s="25"/>
      <c r="Q109" s="26"/>
      <c r="R109" s="26"/>
      <c r="S109" s="26"/>
      <c r="T109" s="26"/>
      <c r="U109" s="26"/>
      <c r="V109" s="280"/>
    </row>
    <row r="110" spans="3:22">
      <c r="C110" s="25" t="s">
        <v>1123</v>
      </c>
      <c r="D110" s="752"/>
      <c r="E110" s="752"/>
      <c r="F110" s="752"/>
      <c r="G110" s="752"/>
      <c r="H110" s="752"/>
      <c r="I110" s="753">
        <f>D148*0.3*-1*0.9</f>
        <v>1485000</v>
      </c>
      <c r="J110" s="351" t="s">
        <v>1148</v>
      </c>
      <c r="P110" s="25"/>
      <c r="Q110" s="26"/>
      <c r="R110" s="26"/>
      <c r="S110" s="26"/>
      <c r="T110" s="26"/>
      <c r="U110" s="26"/>
      <c r="V110" s="280"/>
    </row>
    <row r="111" spans="3:22">
      <c r="C111" s="1214" t="s">
        <v>1158</v>
      </c>
      <c r="D111" s="752"/>
      <c r="E111" s="752"/>
      <c r="F111" s="752"/>
      <c r="G111" s="752"/>
      <c r="H111" s="752"/>
      <c r="I111" s="753"/>
      <c r="J111" s="351"/>
      <c r="P111" s="25"/>
      <c r="Q111" s="26"/>
      <c r="R111" s="26"/>
      <c r="S111" s="26"/>
      <c r="T111" s="26"/>
      <c r="U111" s="26"/>
      <c r="V111" s="280"/>
    </row>
    <row r="112" spans="3:22">
      <c r="C112" s="269" t="s">
        <v>121</v>
      </c>
      <c r="D112" s="754"/>
      <c r="E112" s="754"/>
      <c r="F112" s="754"/>
      <c r="G112" s="754"/>
      <c r="H112" s="754"/>
      <c r="I112" s="754"/>
      <c r="P112" s="269"/>
      <c r="Q112" s="270"/>
      <c r="R112" s="270"/>
      <c r="S112" s="270"/>
      <c r="T112" s="270"/>
      <c r="U112" s="270"/>
      <c r="V112" s="270"/>
    </row>
    <row r="113" spans="2:22">
      <c r="C113" s="25" t="s">
        <v>122</v>
      </c>
      <c r="D113" s="752"/>
      <c r="E113" s="254">
        <v>-416335.98357119999</v>
      </c>
      <c r="F113" s="254">
        <v>-293682.35797312798</v>
      </c>
      <c r="G113" s="254">
        <v>-155554.45423810199</v>
      </c>
      <c r="H113" s="752"/>
      <c r="I113" s="752"/>
      <c r="P113" s="25"/>
      <c r="Q113" s="26"/>
      <c r="R113" s="26"/>
      <c r="S113" s="26"/>
      <c r="T113" s="26"/>
      <c r="U113" s="26"/>
      <c r="V113" s="26"/>
    </row>
    <row r="114" spans="2:22">
      <c r="C114" s="47" t="s">
        <v>1132</v>
      </c>
      <c r="D114" s="752"/>
      <c r="E114" s="752"/>
      <c r="F114" s="752"/>
      <c r="G114" s="752"/>
      <c r="H114" s="752"/>
      <c r="I114" s="752"/>
      <c r="J114" s="351"/>
      <c r="P114" s="47"/>
      <c r="Q114" s="26"/>
      <c r="R114" s="26"/>
      <c r="S114" s="26"/>
      <c r="T114" s="26"/>
      <c r="U114" s="26"/>
      <c r="V114" s="26"/>
    </row>
    <row r="115" spans="2:22">
      <c r="C115" s="631" t="s">
        <v>809</v>
      </c>
      <c r="D115" s="752"/>
      <c r="E115" s="752">
        <f>-550000*12</f>
        <v>-6600000</v>
      </c>
      <c r="F115" s="752">
        <f>-550000*12</f>
        <v>-6600000</v>
      </c>
      <c r="G115" s="752">
        <f>-550000*12</f>
        <v>-6600000</v>
      </c>
      <c r="H115" s="752">
        <f>-550000*12</f>
        <v>-6600000</v>
      </c>
      <c r="I115" s="752">
        <f>-550000*12</f>
        <v>-6600000</v>
      </c>
      <c r="P115" s="47"/>
      <c r="Q115" s="26"/>
      <c r="R115" s="26"/>
      <c r="S115" s="26"/>
      <c r="T115" s="26"/>
      <c r="U115" s="26"/>
      <c r="V115" s="26"/>
    </row>
    <row r="116" spans="2:22">
      <c r="C116" s="1119" t="s">
        <v>1133</v>
      </c>
      <c r="D116" s="752"/>
      <c r="E116" s="752">
        <f>-(120000+150000+90000)*12</f>
        <v>-4320000</v>
      </c>
      <c r="F116" s="752">
        <f>-(120000+150000+90000)*12</f>
        <v>-4320000</v>
      </c>
      <c r="G116" s="752">
        <f>-(120000+150000+90000)*12</f>
        <v>-4320000</v>
      </c>
      <c r="H116" s="752">
        <f>-(120000+150000+90000)*12</f>
        <v>-4320000</v>
      </c>
      <c r="I116" s="752">
        <f>-(120000+150000+90000)*12</f>
        <v>-4320000</v>
      </c>
      <c r="P116" s="47"/>
      <c r="Q116" s="26"/>
      <c r="R116" s="26"/>
      <c r="S116" s="26"/>
      <c r="T116" s="26"/>
      <c r="U116" s="26"/>
      <c r="V116" s="26"/>
    </row>
    <row r="117" spans="2:22">
      <c r="C117" s="342" t="s">
        <v>1140</v>
      </c>
      <c r="D117" s="765"/>
      <c r="E117" s="752"/>
      <c r="F117" s="752"/>
      <c r="G117" s="752"/>
      <c r="H117" s="752"/>
      <c r="I117" s="752"/>
      <c r="P117" s="47"/>
      <c r="Q117" s="26"/>
      <c r="R117" s="26"/>
      <c r="S117" s="26"/>
      <c r="T117" s="26"/>
      <c r="U117" s="26"/>
      <c r="V117" s="26"/>
    </row>
    <row r="118" spans="2:22">
      <c r="C118" s="1120" t="s">
        <v>1141</v>
      </c>
      <c r="D118" s="765"/>
      <c r="E118" s="752">
        <f>-1*E101*$M$86</f>
        <v>-1195293500</v>
      </c>
      <c r="F118" s="752">
        <f>-1*F101*$M$86</f>
        <v>-1153248000</v>
      </c>
      <c r="G118" s="752">
        <f>-1*G101*$M$86</f>
        <v>-1288394250</v>
      </c>
      <c r="H118" s="752">
        <f>-1*H101*$M$86</f>
        <v>-1246348750</v>
      </c>
      <c r="I118" s="752">
        <f>-1*I101*$M$86</f>
        <v>-1255358500</v>
      </c>
      <c r="P118" s="47"/>
      <c r="Q118" s="26"/>
      <c r="R118" s="26"/>
      <c r="S118" s="26"/>
      <c r="T118" s="26"/>
      <c r="U118" s="26"/>
      <c r="V118" s="26"/>
    </row>
    <row r="119" spans="2:22">
      <c r="C119" s="102" t="s">
        <v>802</v>
      </c>
      <c r="D119" s="752"/>
      <c r="E119" s="752"/>
      <c r="F119" s="752"/>
      <c r="G119" s="752"/>
      <c r="H119" s="752"/>
      <c r="I119" s="752"/>
      <c r="P119" s="47"/>
      <c r="Q119" s="26"/>
      <c r="R119" s="26"/>
      <c r="S119" s="26"/>
      <c r="T119" s="26"/>
      <c r="U119" s="26"/>
      <c r="V119" s="26"/>
    </row>
    <row r="120" spans="2:22" ht="15.75" customHeight="1">
      <c r="C120" s="287" t="s">
        <v>803</v>
      </c>
      <c r="D120" s="752"/>
      <c r="E120" s="752"/>
      <c r="F120" s="752"/>
      <c r="G120" s="752"/>
      <c r="H120" s="752"/>
      <c r="I120" s="752"/>
      <c r="P120" s="287"/>
      <c r="Q120" s="26"/>
      <c r="R120" s="26"/>
      <c r="S120" s="26"/>
      <c r="T120" s="26"/>
      <c r="U120" s="26"/>
      <c r="V120" s="26"/>
    </row>
    <row r="121" spans="2:22" ht="15.75" customHeight="1">
      <c r="B121" s="351"/>
      <c r="C121" s="199" t="s">
        <v>1137</v>
      </c>
      <c r="D121" s="752"/>
      <c r="E121" s="752">
        <f>E118*0.12</f>
        <v>-143435220</v>
      </c>
      <c r="F121" s="752">
        <f>F118*0.12</f>
        <v>-138389760</v>
      </c>
      <c r="G121" s="752">
        <f>G118*0.12</f>
        <v>-154607310</v>
      </c>
      <c r="H121" s="752">
        <f>H118*0.12</f>
        <v>-149561850</v>
      </c>
      <c r="I121" s="752">
        <f>I118*0.12</f>
        <v>-150643020</v>
      </c>
      <c r="J121" s="351" t="s">
        <v>1146</v>
      </c>
      <c r="P121" s="199"/>
      <c r="Q121" s="26"/>
      <c r="R121" s="26"/>
      <c r="S121" s="26"/>
      <c r="T121" s="26"/>
      <c r="U121" s="26"/>
      <c r="V121" s="26"/>
    </row>
    <row r="122" spans="2:22" ht="15.75" customHeight="1">
      <c r="B122" s="351"/>
      <c r="C122" s="199" t="s">
        <v>1139</v>
      </c>
      <c r="D122" s="752"/>
      <c r="E122" s="752">
        <f>4*170000*-1*13*1.4</f>
        <v>-12376000</v>
      </c>
      <c r="F122" s="752">
        <f>4*170000*-1*13*1.4</f>
        <v>-12376000</v>
      </c>
      <c r="G122" s="752">
        <f>4*170000*-1*13*1.4</f>
        <v>-12376000</v>
      </c>
      <c r="H122" s="752">
        <f>4*170000*-1*13*1.4</f>
        <v>-12376000</v>
      </c>
      <c r="I122" s="752">
        <f>4*170000*-1*13*1.4</f>
        <v>-12376000</v>
      </c>
      <c r="J122" s="351" t="s">
        <v>1146</v>
      </c>
      <c r="P122" s="199"/>
      <c r="Q122" s="26"/>
      <c r="R122" s="26"/>
      <c r="S122" s="26"/>
      <c r="T122" s="26"/>
      <c r="U122" s="26"/>
      <c r="V122" s="26"/>
    </row>
    <row r="123" spans="2:22" ht="15.75" customHeight="1">
      <c r="B123" s="351"/>
      <c r="C123" s="199" t="s">
        <v>1138</v>
      </c>
      <c r="D123" s="752"/>
      <c r="E123" s="752">
        <f>1*330000*-1*13*1.4</f>
        <v>-6006000</v>
      </c>
      <c r="F123" s="752">
        <f>1*330000*-1*13*1.4</f>
        <v>-6006000</v>
      </c>
      <c r="G123" s="752">
        <f>1*330000*-1*13*1.4</f>
        <v>-6006000</v>
      </c>
      <c r="H123" s="752">
        <f>1*330000*-1*13*1.4</f>
        <v>-6006000</v>
      </c>
      <c r="I123" s="752">
        <f>1*330000*-1*13*1.4</f>
        <v>-6006000</v>
      </c>
      <c r="J123" s="351" t="s">
        <v>1146</v>
      </c>
      <c r="P123" s="199"/>
      <c r="Q123" s="26"/>
      <c r="R123" s="26"/>
      <c r="S123" s="26"/>
      <c r="T123" s="26"/>
      <c r="U123" s="26"/>
      <c r="V123" s="26"/>
    </row>
    <row r="124" spans="2:22" ht="15.75" customHeight="1">
      <c r="B124" s="351"/>
      <c r="C124" s="199" t="s">
        <v>1134</v>
      </c>
      <c r="D124" s="752"/>
      <c r="E124" s="752">
        <f>(E104+E105)*0.015*-1</f>
        <v>-23827016.25</v>
      </c>
      <c r="F124" s="752">
        <f>(F104+F105)*0.015*-1</f>
        <v>-31236480</v>
      </c>
      <c r="G124" s="752">
        <f>(G104+G105)*0.015*-1</f>
        <v>-34500448.125</v>
      </c>
      <c r="H124" s="752">
        <f>(H104+H105)*0.015*-1</f>
        <v>-34141790.625</v>
      </c>
      <c r="I124" s="752">
        <f>(I104+I105)*0.015*-1</f>
        <v>-34774987.5</v>
      </c>
      <c r="J124" s="351" t="s">
        <v>1146</v>
      </c>
      <c r="P124" s="199"/>
      <c r="Q124" s="26"/>
      <c r="R124" s="26"/>
      <c r="S124" s="26"/>
      <c r="T124" s="26"/>
      <c r="U124" s="26"/>
      <c r="V124" s="26"/>
    </row>
    <row r="125" spans="2:22" ht="15.75" customHeight="1">
      <c r="B125" s="351"/>
      <c r="C125" s="199" t="s">
        <v>868</v>
      </c>
      <c r="D125" s="752"/>
      <c r="E125" s="752"/>
      <c r="F125" s="752"/>
      <c r="G125" s="752"/>
      <c r="H125" s="752"/>
      <c r="I125" s="752"/>
      <c r="P125" s="199"/>
      <c r="Q125" s="26"/>
      <c r="R125" s="26"/>
      <c r="S125" s="26"/>
      <c r="T125" s="26"/>
      <c r="U125" s="26"/>
      <c r="V125" s="26"/>
    </row>
    <row r="126" spans="2:22" ht="15.75" customHeight="1">
      <c r="B126" s="351"/>
      <c r="C126" s="199" t="s">
        <v>478</v>
      </c>
      <c r="D126" s="752"/>
      <c r="E126" s="752"/>
      <c r="F126" s="752"/>
      <c r="G126" s="752"/>
      <c r="H126" s="752"/>
      <c r="I126" s="752"/>
      <c r="P126" s="199"/>
      <c r="Q126" s="26"/>
      <c r="R126" s="26"/>
      <c r="S126" s="26"/>
      <c r="T126" s="26"/>
      <c r="U126" s="26"/>
      <c r="V126" s="26"/>
    </row>
    <row r="127" spans="2:22" ht="15.75" customHeight="1">
      <c r="C127" s="199" t="s">
        <v>543</v>
      </c>
      <c r="D127" s="752"/>
      <c r="E127" s="752"/>
      <c r="F127" s="752"/>
      <c r="G127" s="752"/>
      <c r="H127" s="752"/>
      <c r="I127" s="752"/>
      <c r="P127" s="199"/>
      <c r="Q127" s="26"/>
      <c r="R127" s="26"/>
      <c r="S127" s="26"/>
      <c r="T127" s="26"/>
      <c r="U127" s="26"/>
      <c r="V127" s="26"/>
    </row>
    <row r="128" spans="2:22" ht="15.75" customHeight="1">
      <c r="C128" s="199" t="s">
        <v>766</v>
      </c>
      <c r="D128" s="752"/>
      <c r="E128" s="752"/>
      <c r="F128" s="752"/>
      <c r="G128" s="752"/>
      <c r="H128" s="752"/>
      <c r="I128" s="752"/>
      <c r="J128" s="351" t="s">
        <v>1147</v>
      </c>
      <c r="P128" s="199"/>
      <c r="Q128" s="26"/>
      <c r="R128" s="26"/>
      <c r="S128" s="26"/>
      <c r="T128" s="26"/>
      <c r="U128" s="26"/>
      <c r="V128" s="26"/>
    </row>
    <row r="129" spans="3:22">
      <c r="C129" s="267" t="s">
        <v>125</v>
      </c>
      <c r="D129" s="755"/>
      <c r="E129" s="755"/>
      <c r="F129" s="755"/>
      <c r="G129" s="755"/>
      <c r="H129" s="755"/>
      <c r="I129" s="755"/>
      <c r="P129" s="267"/>
      <c r="Q129" s="268"/>
      <c r="R129" s="268"/>
      <c r="S129" s="268"/>
      <c r="T129" s="268"/>
      <c r="U129" s="268"/>
      <c r="V129" s="268"/>
    </row>
    <row r="130" spans="3:22">
      <c r="C130" s="25" t="s">
        <v>761</v>
      </c>
      <c r="D130" s="752"/>
      <c r="E130" s="752"/>
      <c r="F130" s="752"/>
      <c r="G130" s="752"/>
      <c r="H130" s="752"/>
      <c r="I130" s="752"/>
      <c r="J130" s="1746"/>
      <c r="K130" s="1747"/>
      <c r="L130" s="1747"/>
      <c r="M130" s="1747"/>
      <c r="P130" s="25"/>
      <c r="Q130" s="26"/>
      <c r="R130" s="26"/>
      <c r="S130" s="26"/>
      <c r="T130" s="26"/>
      <c r="U130" s="26"/>
      <c r="V130" s="26"/>
    </row>
    <row r="131" spans="3:22">
      <c r="C131" s="25" t="s">
        <v>1149</v>
      </c>
      <c r="D131" s="752"/>
      <c r="E131" s="752">
        <f>($D$148/5)*0.9</f>
        <v>-990000</v>
      </c>
      <c r="F131" s="752">
        <f>($D$148/5)*0.9</f>
        <v>-990000</v>
      </c>
      <c r="G131" s="752">
        <f>($D$148/5)*0.9</f>
        <v>-990000</v>
      </c>
      <c r="H131" s="752">
        <f>($D$148/5)*0.9</f>
        <v>-990000</v>
      </c>
      <c r="I131" s="752">
        <f>($D$148/5)*0.9</f>
        <v>-990000</v>
      </c>
      <c r="P131" s="25"/>
      <c r="Q131" s="26"/>
      <c r="R131" s="26"/>
      <c r="S131" s="26"/>
      <c r="T131" s="26"/>
      <c r="U131" s="26"/>
      <c r="V131" s="26"/>
    </row>
    <row r="132" spans="3:22">
      <c r="C132" s="25" t="s">
        <v>1150</v>
      </c>
      <c r="D132" s="752"/>
      <c r="E132" s="752">
        <f>($D$148/5)*0.1</f>
        <v>-110000</v>
      </c>
      <c r="F132" s="752">
        <f>($D$148/5)*0.1</f>
        <v>-110000</v>
      </c>
      <c r="G132" s="752"/>
      <c r="H132" s="752"/>
      <c r="I132" s="752"/>
      <c r="P132" s="25"/>
      <c r="Q132" s="26"/>
      <c r="R132" s="26"/>
      <c r="S132" s="26"/>
      <c r="T132" s="26"/>
      <c r="U132" s="26"/>
      <c r="V132" s="26"/>
    </row>
    <row r="133" spans="3:22">
      <c r="C133" s="25" t="s">
        <v>1151</v>
      </c>
      <c r="D133" s="752"/>
      <c r="E133" s="752"/>
      <c r="F133" s="752"/>
      <c r="G133" s="752">
        <f>F148/5</f>
        <v>-20000</v>
      </c>
      <c r="H133" s="752">
        <f>F148/5</f>
        <v>-20000</v>
      </c>
      <c r="I133" s="752">
        <f>F148/5</f>
        <v>-20000</v>
      </c>
      <c r="P133" s="25"/>
      <c r="Q133" s="26"/>
      <c r="R133" s="26"/>
      <c r="S133" s="26"/>
      <c r="T133" s="26"/>
      <c r="U133" s="26"/>
      <c r="V133" s="26"/>
    </row>
    <row r="134" spans="3:22">
      <c r="C134" s="25" t="s">
        <v>787</v>
      </c>
      <c r="D134" s="752"/>
      <c r="E134" s="752"/>
      <c r="F134" s="752"/>
      <c r="G134" s="752"/>
      <c r="H134" s="752"/>
      <c r="I134" s="756"/>
      <c r="P134" s="25"/>
      <c r="Q134" s="26"/>
      <c r="R134" s="26"/>
      <c r="S134" s="26"/>
      <c r="T134" s="26"/>
      <c r="U134" s="26"/>
      <c r="V134" s="26"/>
    </row>
    <row r="135" spans="3:22">
      <c r="C135" s="25" t="s">
        <v>1153</v>
      </c>
      <c r="D135" s="752"/>
      <c r="E135" s="752"/>
      <c r="F135" s="752">
        <f>F132*3</f>
        <v>-330000</v>
      </c>
      <c r="G135" s="752"/>
      <c r="H135" s="752"/>
      <c r="I135" s="756"/>
      <c r="P135" s="25"/>
      <c r="Q135" s="26"/>
      <c r="R135" s="26"/>
      <c r="S135" s="26"/>
      <c r="T135" s="26"/>
      <c r="U135" s="26"/>
      <c r="V135" s="26"/>
    </row>
    <row r="136" spans="3:22">
      <c r="C136" s="25" t="s">
        <v>872</v>
      </c>
      <c r="D136" s="752"/>
      <c r="E136" s="752"/>
      <c r="F136" s="752"/>
      <c r="G136" s="752"/>
      <c r="H136" s="757"/>
      <c r="I136" s="758"/>
      <c r="P136" s="25"/>
      <c r="Q136" s="26"/>
      <c r="R136" s="26"/>
      <c r="S136" s="26"/>
      <c r="T136" s="26"/>
      <c r="U136" s="26"/>
      <c r="V136" s="26"/>
    </row>
    <row r="137" spans="3:22">
      <c r="C137" s="25" t="s">
        <v>873</v>
      </c>
      <c r="D137" s="752"/>
      <c r="E137" s="752"/>
      <c r="F137" s="752"/>
      <c r="G137" s="752"/>
      <c r="H137" s="752"/>
      <c r="I137" s="759"/>
      <c r="P137" s="25"/>
      <c r="Q137" s="26"/>
      <c r="R137" s="26"/>
      <c r="S137" s="26"/>
      <c r="T137" s="26"/>
      <c r="U137" s="26"/>
      <c r="V137" s="26"/>
    </row>
    <row r="138" spans="3:22">
      <c r="C138" s="25" t="s">
        <v>1152</v>
      </c>
      <c r="D138" s="752"/>
      <c r="E138" s="752"/>
      <c r="F138" s="752"/>
      <c r="G138" s="752"/>
      <c r="H138" s="752"/>
      <c r="I138" s="759">
        <f>F148-G133-H133-I133</f>
        <v>-40000</v>
      </c>
      <c r="P138" s="25"/>
      <c r="Q138" s="26"/>
      <c r="R138" s="26"/>
      <c r="S138" s="26"/>
      <c r="T138" s="26"/>
      <c r="U138" s="26"/>
      <c r="V138" s="26"/>
    </row>
    <row r="139" spans="3:22">
      <c r="C139" s="25" t="s">
        <v>786</v>
      </c>
      <c r="D139" s="752"/>
      <c r="E139" s="752"/>
      <c r="F139" s="752"/>
      <c r="G139" s="752"/>
      <c r="H139" s="752"/>
      <c r="I139" s="759"/>
      <c r="P139" s="25"/>
      <c r="Q139" s="26"/>
      <c r="R139" s="26"/>
      <c r="S139" s="26"/>
      <c r="T139" s="26"/>
      <c r="U139" s="26"/>
      <c r="V139" s="26"/>
    </row>
    <row r="140" spans="3:22" ht="14.25">
      <c r="C140" s="31" t="s">
        <v>130</v>
      </c>
      <c r="D140" s="760"/>
      <c r="E140" s="760">
        <f>SUM(E104:E139)</f>
        <v>195093677.76642871</v>
      </c>
      <c r="F140" s="760">
        <f>SUM(F104:F139)</f>
        <v>728532077.6420269</v>
      </c>
      <c r="G140" s="760">
        <f>SUM(G104:G139)</f>
        <v>792060312.42076206</v>
      </c>
      <c r="H140" s="760">
        <f>SUM(H104:H139)</f>
        <v>815754984.375</v>
      </c>
      <c r="I140" s="760">
        <f>SUM(I104:I139)</f>
        <v>848688992.5</v>
      </c>
      <c r="K140" s="259"/>
      <c r="L140" s="259"/>
      <c r="M140" s="259"/>
      <c r="P140" s="31"/>
      <c r="Q140" s="32"/>
      <c r="R140" s="32"/>
      <c r="S140" s="32"/>
      <c r="T140" s="32"/>
      <c r="U140" s="32"/>
      <c r="V140" s="32"/>
    </row>
    <row r="141" spans="3:22">
      <c r="C141" s="33" t="s">
        <v>349</v>
      </c>
      <c r="D141" s="752"/>
      <c r="E141" s="752">
        <f>E140*0.35</f>
        <v>68282787.218250051</v>
      </c>
      <c r="F141" s="752">
        <f>F140*0.35</f>
        <v>254986227.17470941</v>
      </c>
      <c r="G141" s="752">
        <f>G140*0.35</f>
        <v>277221109.34726673</v>
      </c>
      <c r="H141" s="752">
        <f>H140*0.35</f>
        <v>285514244.53125</v>
      </c>
      <c r="I141" s="752">
        <f>I140*0.35</f>
        <v>297041147.375</v>
      </c>
      <c r="K141" s="276"/>
      <c r="L141" s="259"/>
      <c r="M141" s="259"/>
      <c r="P141" s="33"/>
      <c r="Q141" s="26"/>
      <c r="R141" s="26"/>
      <c r="S141" s="26"/>
      <c r="T141" s="26"/>
      <c r="U141" s="26"/>
      <c r="V141" s="26"/>
    </row>
    <row r="142" spans="3:22" ht="28.5">
      <c r="C142" s="34" t="s">
        <v>132</v>
      </c>
      <c r="D142" s="761"/>
      <c r="E142" s="761">
        <f>E140-E141</f>
        <v>126810890.54817866</v>
      </c>
      <c r="F142" s="761">
        <f>F140-F141</f>
        <v>473545850.46731746</v>
      </c>
      <c r="G142" s="761">
        <f>G140-G141</f>
        <v>514839203.07349533</v>
      </c>
      <c r="H142" s="761">
        <f>H140-H141</f>
        <v>530240739.84375</v>
      </c>
      <c r="I142" s="761">
        <f>I140-I141</f>
        <v>551647845.125</v>
      </c>
      <c r="P142" s="34"/>
      <c r="Q142" s="35"/>
      <c r="R142" s="35"/>
      <c r="S142" s="35"/>
      <c r="T142" s="35"/>
      <c r="U142" s="35"/>
      <c r="V142" s="35"/>
    </row>
    <row r="143" spans="3:22">
      <c r="C143" s="33" t="s">
        <v>133</v>
      </c>
      <c r="D143" s="756"/>
      <c r="E143" s="756">
        <f>SUM(E130:E139)*-1</f>
        <v>1100000</v>
      </c>
      <c r="F143" s="756">
        <f>SUM(F130:F139)*-1</f>
        <v>1430000</v>
      </c>
      <c r="G143" s="756">
        <f>SUM(G130:G139)*-1</f>
        <v>1010000</v>
      </c>
      <c r="H143" s="756">
        <f>SUM(H130:H139)*-1</f>
        <v>1010000</v>
      </c>
      <c r="I143" s="756">
        <f>SUM(I130:I139)*-1</f>
        <v>1050000</v>
      </c>
      <c r="P143" s="33"/>
      <c r="Q143" s="26"/>
      <c r="R143" s="26"/>
      <c r="S143" s="26"/>
      <c r="T143" s="26"/>
      <c r="U143" s="26"/>
      <c r="V143" s="26"/>
    </row>
    <row r="144" spans="3:22" ht="25.5">
      <c r="C144" s="751" t="s">
        <v>712</v>
      </c>
      <c r="D144" s="254">
        <v>-61566810.406249985</v>
      </c>
      <c r="E144" s="816"/>
      <c r="F144" s="816">
        <v>-6961071.5283448473</v>
      </c>
      <c r="G144" s="816"/>
      <c r="H144" s="816">
        <v>-464071.43522298988</v>
      </c>
      <c r="I144" s="764"/>
      <c r="P144" s="284"/>
      <c r="Q144" s="26"/>
      <c r="R144" s="26"/>
      <c r="S144" s="26"/>
      <c r="T144" s="26"/>
      <c r="U144" s="26"/>
    </row>
    <row r="145" spans="3:23">
      <c r="C145" s="25" t="s">
        <v>134</v>
      </c>
      <c r="D145" s="759"/>
      <c r="E145" s="254">
        <v>-972188.28168960998</v>
      </c>
      <c r="F145" s="254">
        <v>-1094841.9072876801</v>
      </c>
      <c r="G145" s="254">
        <v>-1232969.8110227101</v>
      </c>
      <c r="H145" s="759"/>
      <c r="I145" s="759"/>
      <c r="P145" s="25"/>
      <c r="R145" s="26"/>
      <c r="S145" s="26"/>
      <c r="T145" s="26"/>
      <c r="U145" s="26"/>
      <c r="V145" s="26"/>
    </row>
    <row r="146" spans="3:23">
      <c r="C146" s="25" t="s">
        <v>135</v>
      </c>
      <c r="D146" s="752">
        <f>D148*0.6*-1</f>
        <v>3300000</v>
      </c>
      <c r="F146" s="752"/>
      <c r="G146" s="752"/>
      <c r="H146" s="752"/>
      <c r="I146" s="752"/>
      <c r="P146" s="286"/>
      <c r="R146" s="26"/>
      <c r="S146" s="26"/>
      <c r="T146" s="26"/>
      <c r="U146" s="26"/>
      <c r="V146" s="26"/>
    </row>
    <row r="147" spans="3:23">
      <c r="C147" s="25"/>
      <c r="D147" s="752"/>
      <c r="F147" s="752"/>
      <c r="G147" s="752"/>
      <c r="H147" s="756"/>
      <c r="I147" s="752"/>
      <c r="P147" s="286"/>
      <c r="Q147" s="26"/>
      <c r="V147" s="26"/>
    </row>
    <row r="148" spans="3:23">
      <c r="C148" s="25" t="s">
        <v>1122</v>
      </c>
      <c r="D148" s="752">
        <f>5000000*1.1*-1</f>
        <v>-5500000</v>
      </c>
      <c r="E148" s="752"/>
      <c r="F148" s="752">
        <v>-100000</v>
      </c>
      <c r="G148" s="757"/>
      <c r="H148" s="758"/>
      <c r="I148" s="765"/>
      <c r="P148" s="286"/>
      <c r="Q148" s="26"/>
      <c r="R148" s="26"/>
      <c r="S148" s="26"/>
      <c r="T148" s="26"/>
      <c r="U148" s="26"/>
      <c r="V148" s="26"/>
    </row>
    <row r="149" spans="3:23">
      <c r="C149" s="25" t="s">
        <v>863</v>
      </c>
      <c r="D149" s="752"/>
      <c r="E149" s="752"/>
      <c r="F149" s="752"/>
      <c r="G149" s="757"/>
      <c r="H149" s="758"/>
      <c r="I149" s="765"/>
      <c r="P149" s="286"/>
      <c r="Q149" s="26"/>
      <c r="R149" s="26"/>
      <c r="S149" s="26"/>
      <c r="T149" s="26"/>
      <c r="U149" s="26"/>
      <c r="V149" s="26"/>
    </row>
    <row r="150" spans="3:23">
      <c r="C150" s="25" t="s">
        <v>785</v>
      </c>
      <c r="D150" s="752"/>
      <c r="E150" s="752"/>
      <c r="F150" s="752"/>
      <c r="G150" s="757"/>
      <c r="H150" s="758"/>
      <c r="I150" s="765"/>
      <c r="J150" s="663" t="s">
        <v>1186</v>
      </c>
      <c r="P150" s="286"/>
      <c r="Q150" s="26"/>
      <c r="R150" s="26"/>
      <c r="S150" s="26"/>
      <c r="T150" s="26"/>
      <c r="U150" s="26"/>
      <c r="V150" s="26"/>
    </row>
    <row r="151" spans="3:23">
      <c r="C151" s="286" t="s">
        <v>412</v>
      </c>
      <c r="D151" s="752"/>
      <c r="E151" s="752"/>
      <c r="F151" s="752"/>
      <c r="G151" s="752"/>
      <c r="H151" s="759"/>
      <c r="I151" s="752">
        <f>(D144+F144+H144)*-1</f>
        <v>68991953.369817823</v>
      </c>
      <c r="J151" s="663" t="s">
        <v>29</v>
      </c>
      <c r="P151" s="286"/>
      <c r="Q151" s="26"/>
      <c r="R151" s="26"/>
      <c r="S151" s="26"/>
      <c r="T151" s="26"/>
      <c r="U151" s="26"/>
      <c r="V151" s="26"/>
    </row>
    <row r="152" spans="3:23" ht="14.25">
      <c r="C152" s="37" t="s">
        <v>139</v>
      </c>
      <c r="D152" s="761">
        <f>SUM(D141:D151)</f>
        <v>-63766810.406249985</v>
      </c>
      <c r="E152" s="761">
        <f>SUM(E142:E151)</f>
        <v>126938702.26648904</v>
      </c>
      <c r="F152" s="761">
        <f>SUM(F142:F151)</f>
        <v>466819937.03168494</v>
      </c>
      <c r="G152" s="761">
        <f>SUM(G142:G151)</f>
        <v>514616233.26247263</v>
      </c>
      <c r="H152" s="761">
        <f>SUM(H142:H151)</f>
        <v>530786668.40852702</v>
      </c>
      <c r="I152" s="761">
        <f>SUM(I142:I151)</f>
        <v>621689798.49481785</v>
      </c>
      <c r="J152" s="1055">
        <f>NPV(C174,E152:I152)+D152</f>
        <v>1315793307.2197816</v>
      </c>
      <c r="P152" s="37"/>
      <c r="Q152" s="35"/>
      <c r="R152" s="35"/>
      <c r="S152" s="35"/>
      <c r="T152" s="35"/>
      <c r="U152" s="35"/>
      <c r="V152" s="35"/>
      <c r="W152" s="297"/>
    </row>
    <row r="153" spans="3:23">
      <c r="C153" s="3"/>
      <c r="E153" s="5"/>
      <c r="F153" s="5"/>
      <c r="G153" s="5"/>
      <c r="H153" s="5"/>
      <c r="I153" s="5"/>
    </row>
    <row r="154" spans="3:23">
      <c r="D154" s="1051"/>
    </row>
    <row r="155" spans="3:23">
      <c r="E155" s="297"/>
      <c r="K155" s="274"/>
    </row>
    <row r="156" spans="3:23" ht="127.5">
      <c r="C156" s="592"/>
      <c r="D156" s="1232"/>
      <c r="E156" s="1232"/>
      <c r="F156" s="1232"/>
      <c r="G156" s="1223" t="s">
        <v>1188</v>
      </c>
      <c r="H156" s="380"/>
      <c r="I156" s="380"/>
    </row>
    <row r="157" spans="3:23" ht="100.5" customHeight="1">
      <c r="G157" s="1866" t="s">
        <v>1197</v>
      </c>
      <c r="H157" s="1866"/>
      <c r="I157" s="1866"/>
      <c r="N157" s="299"/>
      <c r="O157" s="299"/>
      <c r="P157" s="299"/>
      <c r="Q157" s="299"/>
    </row>
    <row r="158" spans="3:23" ht="71.25">
      <c r="G158" s="1230" t="s">
        <v>1196</v>
      </c>
      <c r="H158" s="1225"/>
      <c r="I158" s="1225"/>
      <c r="J158" s="1225"/>
      <c r="K158" s="1225"/>
      <c r="N158" s="299"/>
      <c r="O158" s="299"/>
      <c r="P158" s="299"/>
      <c r="Q158" s="299"/>
    </row>
    <row r="159" spans="3:23" ht="14.25">
      <c r="G159" s="1231" t="s">
        <v>1192</v>
      </c>
      <c r="H159" s="1225"/>
      <c r="I159" s="1225"/>
      <c r="J159" s="1225"/>
      <c r="K159" s="1225"/>
      <c r="N159" s="299"/>
      <c r="O159" s="299"/>
      <c r="P159" s="299"/>
      <c r="Q159" s="299"/>
    </row>
    <row r="160" spans="3:23" ht="14.25">
      <c r="G160" s="1231"/>
      <c r="H160" s="1225"/>
      <c r="I160" s="1225"/>
      <c r="J160" s="1225"/>
      <c r="K160" s="1225"/>
      <c r="N160" s="299"/>
      <c r="O160" s="299"/>
      <c r="P160" s="299"/>
      <c r="Q160" s="299"/>
    </row>
    <row r="161" spans="2:17" ht="14.25">
      <c r="G161" s="1231" t="s">
        <v>1193</v>
      </c>
      <c r="H161" s="1225"/>
      <c r="I161" s="1225"/>
      <c r="J161" s="1225"/>
      <c r="K161" s="1225"/>
      <c r="L161" s="299"/>
      <c r="M161" s="299"/>
      <c r="N161" s="299"/>
    </row>
    <row r="162" spans="2:17" ht="14.25">
      <c r="G162" s="1231" t="s">
        <v>1194</v>
      </c>
      <c r="H162" s="1225"/>
      <c r="I162" s="1225"/>
      <c r="J162" s="1225"/>
      <c r="K162" s="1225"/>
      <c r="L162" s="299"/>
      <c r="M162" s="299"/>
      <c r="N162" s="299"/>
    </row>
    <row r="163" spans="2:17" ht="14.25">
      <c r="G163" s="1867" t="s">
        <v>1198</v>
      </c>
      <c r="H163" s="1226" t="s">
        <v>483</v>
      </c>
      <c r="I163" s="1226" t="s">
        <v>1195</v>
      </c>
      <c r="J163" s="1226"/>
      <c r="K163" s="1225"/>
      <c r="L163" s="299"/>
      <c r="M163" s="299"/>
      <c r="N163" s="299"/>
    </row>
    <row r="164" spans="2:17" ht="14.25">
      <c r="G164" s="1868"/>
      <c r="H164" s="1227">
        <v>100000</v>
      </c>
      <c r="I164" s="1228">
        <v>0.25</v>
      </c>
      <c r="J164" s="1227">
        <f>H164*I164+H164</f>
        <v>125000</v>
      </c>
      <c r="K164" s="1225"/>
      <c r="L164" s="299"/>
      <c r="M164" s="299"/>
      <c r="N164" s="299"/>
    </row>
    <row r="165" spans="2:17" ht="14.25">
      <c r="G165" s="1868"/>
      <c r="H165" s="1227">
        <v>120000</v>
      </c>
      <c r="I165" s="1228">
        <v>0.11</v>
      </c>
      <c r="J165" s="1227">
        <f>H165*I165+H165</f>
        <v>133200</v>
      </c>
      <c r="K165" s="1225"/>
      <c r="L165" s="299"/>
      <c r="M165" s="299"/>
      <c r="N165" s="299"/>
    </row>
    <row r="166" spans="2:17" ht="14.25">
      <c r="G166" s="1225"/>
      <c r="H166" s="1227">
        <v>300000</v>
      </c>
      <c r="I166" s="1229">
        <v>0.115</v>
      </c>
      <c r="J166" s="1227">
        <f>H166*I166+H166</f>
        <v>334500</v>
      </c>
      <c r="K166" s="1225"/>
      <c r="N166" s="299"/>
      <c r="O166" s="299"/>
      <c r="P166" s="299"/>
      <c r="Q166" s="299"/>
    </row>
    <row r="167" spans="2:17">
      <c r="G167" s="25"/>
      <c r="H167" s="343"/>
      <c r="I167" s="134"/>
      <c r="N167" s="299"/>
      <c r="O167" s="299"/>
      <c r="P167" s="299"/>
      <c r="Q167" s="299"/>
    </row>
    <row r="168" spans="2:17">
      <c r="G168" s="271"/>
      <c r="H168" s="344"/>
      <c r="I168" s="25"/>
      <c r="N168" s="299"/>
      <c r="O168" s="299"/>
      <c r="P168" s="299"/>
      <c r="Q168" s="299"/>
    </row>
    <row r="169" spans="2:17">
      <c r="N169" s="299"/>
      <c r="O169" s="299"/>
      <c r="P169" s="299"/>
      <c r="Q169" s="299"/>
    </row>
    <row r="170" spans="2:17" ht="15">
      <c r="G170" s="345"/>
      <c r="H170" s="346"/>
      <c r="N170" s="299"/>
      <c r="O170" s="299"/>
      <c r="P170" s="299"/>
      <c r="Q170" s="299"/>
    </row>
    <row r="171" spans="2:17" ht="15">
      <c r="G171" s="345"/>
      <c r="H171" s="346"/>
      <c r="I171" s="347"/>
    </row>
    <row r="172" spans="2:17" ht="15">
      <c r="G172" s="345"/>
      <c r="H172" s="346"/>
      <c r="I172" s="347"/>
    </row>
    <row r="173" spans="2:17" ht="24" thickBot="1">
      <c r="D173" s="1224" t="s">
        <v>1189</v>
      </c>
      <c r="E173" s="259"/>
      <c r="F173" s="1224"/>
      <c r="G173" s="345"/>
      <c r="H173" s="346"/>
      <c r="M173" t="s">
        <v>448</v>
      </c>
      <c r="N173" s="304">
        <v>150000</v>
      </c>
      <c r="O173" s="352"/>
    </row>
    <row r="174" spans="2:17" ht="23.25">
      <c r="B174" s="40" t="s">
        <v>140</v>
      </c>
      <c r="C174" s="285">
        <f>C182*C176+C183*(1-C180)*C181</f>
        <v>0.158862</v>
      </c>
      <c r="D174" s="1224" t="s">
        <v>1191</v>
      </c>
      <c r="E174" s="259"/>
      <c r="F174" s="259"/>
      <c r="G174" s="345"/>
      <c r="H174" s="346"/>
      <c r="M174" t="s">
        <v>448</v>
      </c>
      <c r="N174" s="305">
        <v>160000</v>
      </c>
      <c r="O174" s="353"/>
    </row>
    <row r="175" spans="2:17" ht="15.75" thickBot="1">
      <c r="B175" s="42" t="s">
        <v>141</v>
      </c>
      <c r="C175" s="43" t="s">
        <v>142</v>
      </c>
      <c r="M175" t="s">
        <v>449</v>
      </c>
    </row>
    <row r="176" spans="2:17" ht="15.75" thickBot="1">
      <c r="B176" s="44" t="s">
        <v>143</v>
      </c>
      <c r="C176" s="573">
        <f>C177+C178*(C179-C177)+4%</f>
        <v>0.17</v>
      </c>
      <c r="D176" s="1222" t="s">
        <v>1190</v>
      </c>
      <c r="G176" s="348" t="s">
        <v>497</v>
      </c>
      <c r="H176" s="349">
        <f>H170*H171+H173*H172*(1-H174)</f>
        <v>0</v>
      </c>
    </row>
    <row r="177" spans="2:15" ht="15">
      <c r="B177" s="44" t="s">
        <v>144</v>
      </c>
      <c r="C177" s="821">
        <v>0.04</v>
      </c>
      <c r="D177" s="785" t="s">
        <v>889</v>
      </c>
    </row>
    <row r="178" spans="2:15" ht="18.75" thickBot="1">
      <c r="B178" s="47" t="s">
        <v>7</v>
      </c>
      <c r="C178" s="1035">
        <v>1.5</v>
      </c>
      <c r="D178" s="786" t="s">
        <v>886</v>
      </c>
      <c r="I178" s="350" t="s">
        <v>502</v>
      </c>
    </row>
    <row r="179" spans="2:15" ht="18">
      <c r="B179" s="47" t="s">
        <v>146</v>
      </c>
      <c r="C179" s="1036">
        <v>0.1</v>
      </c>
      <c r="D179" s="4" t="s">
        <v>890</v>
      </c>
      <c r="I179" s="350" t="s">
        <v>883</v>
      </c>
    </row>
    <row r="180" spans="2:15" ht="18">
      <c r="B180" s="47" t="s">
        <v>148</v>
      </c>
      <c r="C180" s="1036">
        <v>0.35</v>
      </c>
      <c r="D180" s="4" t="s">
        <v>1161</v>
      </c>
      <c r="I180" s="350" t="s">
        <v>884</v>
      </c>
    </row>
    <row r="181" spans="2:15" ht="18">
      <c r="B181" s="47" t="s">
        <v>150</v>
      </c>
      <c r="C181" s="1036">
        <f>P200</f>
        <v>0.21870000000000001</v>
      </c>
      <c r="D181" s="4"/>
      <c r="I181" s="350" t="s">
        <v>885</v>
      </c>
    </row>
    <row r="182" spans="2:15">
      <c r="B182" s="47" t="s">
        <v>152</v>
      </c>
      <c r="C182" s="1036">
        <v>0.6</v>
      </c>
      <c r="D182" s="4"/>
      <c r="E182" s="4"/>
      <c r="F182" s="4"/>
    </row>
    <row r="183" spans="2:15" ht="13.5" thickBot="1">
      <c r="B183" s="50" t="s">
        <v>154</v>
      </c>
      <c r="C183" s="1039">
        <v>0.4</v>
      </c>
      <c r="D183" s="4"/>
      <c r="E183" s="4"/>
      <c r="F183" s="4"/>
    </row>
    <row r="185" spans="2:15" ht="15.75">
      <c r="B185" s="570" t="s">
        <v>143</v>
      </c>
      <c r="C185" s="571">
        <f>C187+C186*(C188-C187)</f>
        <v>0.41000000000000003</v>
      </c>
      <c r="D185" t="s">
        <v>744</v>
      </c>
      <c r="L185" s="579"/>
    </row>
    <row r="186" spans="2:15" ht="14.25">
      <c r="B186" s="570" t="s">
        <v>745</v>
      </c>
      <c r="C186" s="491">
        <v>1.8</v>
      </c>
      <c r="D186" t="s">
        <v>746</v>
      </c>
      <c r="K186" s="254"/>
      <c r="L186" s="208"/>
    </row>
    <row r="187" spans="2:15" ht="14.25">
      <c r="B187" s="570" t="s">
        <v>144</v>
      </c>
      <c r="C187" s="572">
        <v>0.05</v>
      </c>
      <c r="D187" t="s">
        <v>747</v>
      </c>
      <c r="K187" s="254"/>
      <c r="L187" s="208"/>
      <c r="N187" s="580">
        <f>L200</f>
        <v>520000</v>
      </c>
      <c r="O187" s="208">
        <v>1</v>
      </c>
    </row>
    <row r="188" spans="2:15" ht="14.25">
      <c r="B188" s="570" t="s">
        <v>146</v>
      </c>
      <c r="C188" s="572">
        <v>0.25</v>
      </c>
      <c r="K188" s="254"/>
      <c r="L188" s="1215"/>
      <c r="N188" s="580">
        <f>L197</f>
        <v>100000</v>
      </c>
      <c r="O188" s="581">
        <f>(N188*O187)/N187</f>
        <v>0.19230769230769232</v>
      </c>
    </row>
    <row r="190" spans="2:15">
      <c r="N190" s="580">
        <f>L200</f>
        <v>520000</v>
      </c>
      <c r="O190" s="208">
        <v>1</v>
      </c>
    </row>
    <row r="191" spans="2:15" ht="14.25">
      <c r="B191" s="570"/>
      <c r="C191" s="574"/>
      <c r="D191" s="574"/>
      <c r="E191" s="574"/>
      <c r="F191" s="574"/>
      <c r="G191" s="574"/>
      <c r="H191" s="574"/>
      <c r="N191" s="582">
        <f>L198</f>
        <v>120000</v>
      </c>
      <c r="O191" s="583">
        <f>(N191*O190)/N190</f>
        <v>0.23076923076923078</v>
      </c>
    </row>
    <row r="192" spans="2:15">
      <c r="C192" s="303"/>
      <c r="D192" s="303"/>
      <c r="E192" s="303"/>
      <c r="F192" s="303"/>
      <c r="G192" s="303"/>
      <c r="H192" s="303"/>
    </row>
    <row r="193" spans="2:16">
      <c r="C193" s="303"/>
      <c r="D193" s="303"/>
      <c r="E193" s="303"/>
      <c r="F193" s="303"/>
      <c r="G193" s="303"/>
      <c r="H193" s="303"/>
      <c r="L193" t="s">
        <v>751</v>
      </c>
      <c r="N193" s="580">
        <f>L200</f>
        <v>520000</v>
      </c>
      <c r="O193" s="208">
        <v>1</v>
      </c>
    </row>
    <row r="194" spans="2:16" ht="14.25">
      <c r="C194" s="575"/>
      <c r="D194" s="576"/>
      <c r="E194" s="574"/>
      <c r="F194" s="584"/>
      <c r="G194" s="576"/>
      <c r="H194" s="576"/>
      <c r="N194" s="582">
        <f>L199</f>
        <v>300000</v>
      </c>
      <c r="O194" s="585">
        <f>(N194*O193)/N193</f>
        <v>0.57692307692307687</v>
      </c>
    </row>
    <row r="196" spans="2:16" ht="14.25">
      <c r="L196" s="570" t="s">
        <v>752</v>
      </c>
      <c r="N196" s="491"/>
    </row>
    <row r="197" spans="2:16" ht="14.25">
      <c r="B197" s="570"/>
      <c r="C197" s="578"/>
      <c r="L197" s="582">
        <v>100000</v>
      </c>
      <c r="N197" s="468">
        <v>0.5</v>
      </c>
      <c r="O197" s="586">
        <v>0.25</v>
      </c>
      <c r="P197" s="578">
        <f>N197*O197</f>
        <v>0.125</v>
      </c>
    </row>
    <row r="198" spans="2:16" ht="15" thickBot="1">
      <c r="L198" s="582">
        <v>120000</v>
      </c>
      <c r="N198" s="468">
        <v>0.35</v>
      </c>
      <c r="O198" s="1217">
        <v>0.11</v>
      </c>
      <c r="P198" s="578">
        <f>N198*O198</f>
        <v>3.85E-2</v>
      </c>
    </row>
    <row r="199" spans="2:16" ht="15" thickBot="1">
      <c r="C199" s="1782" t="s">
        <v>888</v>
      </c>
      <c r="D199" s="1783"/>
      <c r="E199" s="1783"/>
      <c r="F199" s="1783"/>
      <c r="G199" s="1783"/>
      <c r="H199" s="1783"/>
      <c r="I199" s="1784"/>
      <c r="L199" s="588">
        <v>300000</v>
      </c>
      <c r="N199" s="468">
        <v>0.48</v>
      </c>
      <c r="O199" s="1216">
        <v>0.115</v>
      </c>
      <c r="P199" s="578">
        <f>N199*O199</f>
        <v>5.5199999999999999E-2</v>
      </c>
    </row>
    <row r="200" spans="2:16" ht="15">
      <c r="C200" s="772" t="s">
        <v>143</v>
      </c>
      <c r="D200" s="773">
        <f>D202+D201*(D203-D202)</f>
        <v>0.41000000000000003</v>
      </c>
      <c r="E200" s="774" t="s">
        <v>744</v>
      </c>
      <c r="F200" s="774"/>
      <c r="G200" s="774"/>
      <c r="H200" s="774"/>
      <c r="I200" s="775"/>
      <c r="L200" s="582">
        <f>SUM(L197:L199)</f>
        <v>520000</v>
      </c>
      <c r="N200" s="491"/>
      <c r="P200" s="591">
        <f>SUM(P197:P199)</f>
        <v>0.21870000000000001</v>
      </c>
    </row>
    <row r="201" spans="2:16" ht="14.25">
      <c r="C201" s="776" t="s">
        <v>745</v>
      </c>
      <c r="D201" s="777">
        <v>1.8</v>
      </c>
      <c r="E201" s="257" t="s">
        <v>746</v>
      </c>
      <c r="F201" s="257"/>
      <c r="G201" s="257"/>
      <c r="H201" s="257"/>
      <c r="I201" s="778"/>
      <c r="N201" s="491"/>
    </row>
    <row r="202" spans="2:16" ht="14.25">
      <c r="C202" s="776" t="s">
        <v>144</v>
      </c>
      <c r="D202" s="779">
        <v>0.05</v>
      </c>
      <c r="E202" s="257" t="s">
        <v>747</v>
      </c>
      <c r="F202" s="257"/>
      <c r="G202" s="257"/>
      <c r="H202" s="257"/>
      <c r="I202" s="778"/>
    </row>
    <row r="203" spans="2:16" ht="14.25">
      <c r="C203" s="776" t="s">
        <v>146</v>
      </c>
      <c r="D203" s="779">
        <v>0.25</v>
      </c>
      <c r="E203" s="257"/>
      <c r="F203" s="257"/>
      <c r="G203" s="257"/>
      <c r="H203" s="257"/>
      <c r="I203" s="778"/>
      <c r="L203" s="548"/>
      <c r="M203" s="548"/>
      <c r="N203" s="548"/>
    </row>
    <row r="204" spans="2:16" ht="13.5" thickBot="1">
      <c r="C204" s="780"/>
      <c r="D204" s="781"/>
      <c r="E204" s="781"/>
      <c r="F204" s="781"/>
      <c r="G204" s="781"/>
      <c r="H204" s="781"/>
      <c r="I204" s="782"/>
      <c r="M204" s="787"/>
      <c r="N204" s="788"/>
    </row>
    <row r="205" spans="2:16">
      <c r="M205" s="787"/>
    </row>
    <row r="206" spans="2:16" ht="14.25">
      <c r="M206" s="789"/>
    </row>
  </sheetData>
  <mergeCells count="22">
    <mergeCell ref="I95:L95"/>
    <mergeCell ref="D98:G98"/>
    <mergeCell ref="J130:M130"/>
    <mergeCell ref="C199:I199"/>
    <mergeCell ref="G157:I157"/>
    <mergeCell ref="G163:G165"/>
    <mergeCell ref="D61:D67"/>
    <mergeCell ref="V66:Y66"/>
    <mergeCell ref="M75:Q75"/>
    <mergeCell ref="M83:Q83"/>
    <mergeCell ref="B84:K84"/>
    <mergeCell ref="N85:O91"/>
    <mergeCell ref="K86:K90"/>
    <mergeCell ref="L86:L89"/>
    <mergeCell ref="M86:M90"/>
    <mergeCell ref="E91:F91"/>
    <mergeCell ref="M45:O45"/>
    <mergeCell ref="A2:B12"/>
    <mergeCell ref="M30:N30"/>
    <mergeCell ref="O35:S35"/>
    <mergeCell ref="M41:O41"/>
    <mergeCell ref="M42:O42"/>
  </mergeCells>
  <conditionalFormatting sqref="G63:K63">
    <cfRule type="containsText" dxfId="6"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A716-DC31-4D93-B9A2-A6723731FF05}">
  <dimension ref="A2:Y223"/>
  <sheetViews>
    <sheetView workbookViewId="0">
      <selection activeCell="E102" sqref="E102:I102"/>
    </sheetView>
  </sheetViews>
  <sheetFormatPr defaultRowHeight="12.75"/>
  <cols>
    <col min="1" max="1" width="11.5703125" customWidth="1"/>
    <col min="2" max="2" width="14.5703125" customWidth="1"/>
    <col min="3" max="3" width="35.42578125" bestFit="1" customWidth="1"/>
    <col min="4" max="4" width="37.28515625" bestFit="1" customWidth="1"/>
    <col min="5" max="5" width="19.5703125" customWidth="1"/>
    <col min="6" max="6" width="23.140625" customWidth="1"/>
    <col min="7" max="7" width="39" customWidth="1"/>
    <col min="8" max="8" width="20.710937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c r="J10" s="351"/>
    </row>
    <row r="11" spans="1:15">
      <c r="A11" s="1745"/>
      <c r="B11" s="1745"/>
    </row>
    <row r="12" spans="1:15">
      <c r="A12" s="1745"/>
      <c r="B12" s="1745"/>
    </row>
    <row r="13" spans="1:15">
      <c r="M13" s="596"/>
      <c r="N13" s="597" t="s">
        <v>506</v>
      </c>
      <c r="O13" s="351"/>
    </row>
    <row r="14" spans="1:15">
      <c r="M14" s="596"/>
      <c r="N14" s="597" t="s">
        <v>507</v>
      </c>
      <c r="O14" s="351"/>
    </row>
    <row r="15" spans="1:15">
      <c r="J15" s="351" t="s">
        <v>1201</v>
      </c>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3:21">
      <c r="M34" s="351"/>
    </row>
    <row r="35" spans="3:21">
      <c r="O35" s="1755"/>
      <c r="P35" s="1714"/>
      <c r="Q35" s="1714"/>
      <c r="R35" s="1714"/>
      <c r="S35" s="1714"/>
    </row>
    <row r="36" spans="3:21">
      <c r="O36" s="700"/>
      <c r="P36" s="700"/>
      <c r="Q36" s="700"/>
      <c r="R36" s="700"/>
      <c r="S36" s="700"/>
    </row>
    <row r="37" spans="3:21">
      <c r="C37" s="351"/>
      <c r="O37" s="702"/>
      <c r="P37" s="702"/>
      <c r="Q37" s="702"/>
      <c r="R37" s="702"/>
      <c r="S37" s="702"/>
    </row>
    <row r="38" spans="3:21">
      <c r="C38" s="351"/>
    </row>
    <row r="39" spans="3:21">
      <c r="C39" s="351"/>
    </row>
    <row r="40" spans="3:21">
      <c r="C40" s="208"/>
    </row>
    <row r="41" spans="3:21">
      <c r="C41" s="208"/>
      <c r="M41" s="1755"/>
      <c r="N41" s="1755"/>
      <c r="O41" s="1755"/>
      <c r="P41" s="701"/>
      <c r="Q41" s="701"/>
      <c r="R41" s="701"/>
      <c r="S41" s="701"/>
      <c r="T41" s="300"/>
      <c r="U41" s="301"/>
    </row>
    <row r="42" spans="3:21">
      <c r="M42" s="1755"/>
      <c r="N42" s="1714"/>
      <c r="O42" s="1714"/>
    </row>
    <row r="43" spans="3:21">
      <c r="M43" s="700"/>
      <c r="N43" s="700"/>
      <c r="O43" s="700"/>
    </row>
    <row r="44" spans="3:21">
      <c r="M44" s="703"/>
      <c r="N44" s="702"/>
      <c r="O44" s="702"/>
    </row>
    <row r="45" spans="3:21">
      <c r="M45" s="1755"/>
      <c r="N45" s="1714"/>
      <c r="O45" s="1714"/>
    </row>
    <row r="46" spans="3:21">
      <c r="M46" s="700"/>
      <c r="N46" s="701"/>
      <c r="O46" s="701"/>
    </row>
    <row r="47" spans="3:21">
      <c r="M47" s="700"/>
      <c r="N47" s="701"/>
      <c r="O47" s="701"/>
    </row>
    <row r="48" spans="3:21">
      <c r="M48" s="700"/>
      <c r="N48" s="701"/>
      <c r="O48" s="701"/>
    </row>
    <row r="49" spans="4:23">
      <c r="F49" s="351" t="s">
        <v>1204</v>
      </c>
      <c r="G49" s="254">
        <f>12705/1.21</f>
        <v>10500</v>
      </c>
      <c r="M49" s="700"/>
      <c r="N49" s="701"/>
      <c r="O49" s="701"/>
    </row>
    <row r="50" spans="4:23">
      <c r="F50" s="381" t="s">
        <v>1205</v>
      </c>
      <c r="G50" s="1252">
        <v>15000</v>
      </c>
      <c r="H50" s="381" t="s">
        <v>1224</v>
      </c>
      <c r="M50" s="700"/>
      <c r="N50" s="701"/>
      <c r="O50" s="701"/>
    </row>
    <row r="51" spans="4:23">
      <c r="F51" s="1222" t="s">
        <v>1206</v>
      </c>
      <c r="G51" s="259"/>
      <c r="M51" s="700"/>
      <c r="N51" s="701"/>
      <c r="O51" s="701"/>
    </row>
    <row r="52" spans="4:23">
      <c r="F52" s="1222" t="s">
        <v>1207</v>
      </c>
      <c r="G52" s="259"/>
      <c r="M52" s="700"/>
      <c r="N52" s="701"/>
      <c r="O52" s="701"/>
    </row>
    <row r="53" spans="4:23">
      <c r="M53" s="700"/>
      <c r="N53" s="701"/>
      <c r="O53" s="701"/>
    </row>
    <row r="54" spans="4:23">
      <c r="F54" s="351" t="s">
        <v>1212</v>
      </c>
      <c r="G54" s="255">
        <f>K86</f>
        <v>3615</v>
      </c>
      <c r="M54" s="700"/>
      <c r="N54" s="701"/>
      <c r="O54" s="701"/>
    </row>
    <row r="55" spans="4:23">
      <c r="F55" s="351" t="s">
        <v>1225</v>
      </c>
      <c r="G55" s="254">
        <f>190500*175</f>
        <v>33337500</v>
      </c>
      <c r="H55" s="255">
        <f>G55*1.315</f>
        <v>43838812.5</v>
      </c>
      <c r="I55" s="1240">
        <f>H55-G55</f>
        <v>10501312.5</v>
      </c>
      <c r="M55" s="700"/>
      <c r="N55" s="701"/>
      <c r="O55" s="701"/>
    </row>
    <row r="56" spans="4:23" ht="14.25">
      <c r="M56" s="697" t="s">
        <v>831</v>
      </c>
      <c r="N56" s="261"/>
    </row>
    <row r="57" spans="4:23" ht="14.25">
      <c r="I57" s="351"/>
      <c r="M57" s="731" t="s">
        <v>832</v>
      </c>
      <c r="N57" s="583"/>
      <c r="U57" s="4"/>
      <c r="V57" s="547"/>
      <c r="W57" s="548"/>
    </row>
    <row r="58" spans="4:23" ht="14.25">
      <c r="I58" s="667"/>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6714</v>
      </c>
      <c r="K67" s="693">
        <f>J67*(1+K66)</f>
        <v>5222</v>
      </c>
      <c r="L67" s="692">
        <f>K67*(1+L66)</f>
        <v>6962.6666666666661</v>
      </c>
      <c r="M67" s="692">
        <f>L67*(1+M66)</f>
        <v>9283.5555555555547</v>
      </c>
      <c r="N67" s="692">
        <f>M67*(1+N66)</f>
        <v>12378.074074074073</v>
      </c>
      <c r="U67" s="551"/>
      <c r="V67" s="552"/>
      <c r="W67" s="552"/>
      <c r="X67" s="552"/>
      <c r="Y67" s="553"/>
    </row>
    <row r="68" spans="1:25" ht="15">
      <c r="U68" s="554"/>
      <c r="V68" s="555"/>
      <c r="W68" s="556"/>
      <c r="X68" s="555"/>
      <c r="Y68" s="557"/>
    </row>
    <row r="69" spans="1:25" ht="15">
      <c r="G69" s="697" t="s">
        <v>830</v>
      </c>
      <c r="H69" s="698">
        <f>M86*1.8</f>
        <v>6714</v>
      </c>
      <c r="I69" s="695"/>
      <c r="J69" s="694"/>
      <c r="K69" s="695"/>
      <c r="M69" s="259" t="s">
        <v>0</v>
      </c>
      <c r="N69" s="260">
        <v>0.12</v>
      </c>
      <c r="O69" s="261" t="s">
        <v>3</v>
      </c>
      <c r="P69" s="261" t="s">
        <v>3</v>
      </c>
      <c r="U69" s="554"/>
      <c r="V69" s="558"/>
      <c r="W69" s="556"/>
      <c r="X69" s="555"/>
      <c r="Y69" s="557"/>
    </row>
    <row r="70" spans="1:25" ht="15">
      <c r="G70" s="548"/>
      <c r="H70" s="694"/>
      <c r="I70" s="695"/>
      <c r="J70" s="694"/>
      <c r="K70" s="695"/>
      <c r="M70" s="21"/>
      <c r="N70" s="23" t="s">
        <v>3</v>
      </c>
      <c r="O70" s="261">
        <f>(1+N69/6)^6</f>
        <v>1.1261624192640001</v>
      </c>
      <c r="P70" s="266">
        <f>O70-1</f>
        <v>0.12616241926400007</v>
      </c>
      <c r="U70" s="559"/>
      <c r="V70" s="560"/>
      <c r="W70" s="556"/>
      <c r="X70" s="561"/>
      <c r="Y70" s="557"/>
    </row>
    <row r="71" spans="1:25" ht="14.25">
      <c r="A71" s="767" t="s">
        <v>865</v>
      </c>
      <c r="B71" s="767"/>
      <c r="C71" s="767"/>
      <c r="D71" s="257"/>
      <c r="G71" s="548"/>
      <c r="H71" s="694"/>
      <c r="I71" s="695"/>
      <c r="J71" s="694"/>
      <c r="K71" s="695"/>
      <c r="M71" s="21"/>
      <c r="N71" s="23"/>
    </row>
    <row r="72" spans="1:25" ht="127.5" customHeight="1">
      <c r="A72" s="257"/>
      <c r="B72" s="1874" t="s">
        <v>1230</v>
      </c>
      <c r="C72" s="1874"/>
      <c r="D72" s="1874"/>
      <c r="M72" s="21"/>
      <c r="N72" s="39"/>
    </row>
    <row r="73" spans="1:25" ht="15">
      <c r="A73" s="257"/>
      <c r="B73" s="767" t="s">
        <v>1248</v>
      </c>
      <c r="C73" s="257"/>
      <c r="D73" s="257"/>
      <c r="G73" s="1302" t="s">
        <v>1269</v>
      </c>
      <c r="H73" s="799"/>
      <c r="I73" s="799"/>
      <c r="J73" s="800"/>
      <c r="K73" s="800"/>
      <c r="M73" s="21"/>
      <c r="N73" s="23"/>
    </row>
    <row r="74" spans="1:25" ht="15">
      <c r="A74" s="257"/>
      <c r="B74" s="767" t="s">
        <v>1266</v>
      </c>
      <c r="C74" s="257"/>
      <c r="D74" s="257"/>
      <c r="G74" s="1303" t="s">
        <v>1270</v>
      </c>
      <c r="H74" s="799"/>
      <c r="I74" s="799"/>
      <c r="J74" s="798"/>
      <c r="K74" s="799"/>
    </row>
    <row r="75" spans="1:25" ht="30">
      <c r="A75" s="257"/>
      <c r="B75" s="767" t="s">
        <v>1271</v>
      </c>
      <c r="C75" s="257"/>
      <c r="D75" s="257"/>
      <c r="G75" s="1304" t="s">
        <v>1272</v>
      </c>
      <c r="H75" s="799"/>
      <c r="I75" s="799"/>
      <c r="J75" s="798"/>
      <c r="K75" s="799"/>
      <c r="M75" s="1615" t="s">
        <v>103</v>
      </c>
      <c r="N75" s="1613"/>
      <c r="O75" s="1613"/>
      <c r="P75" s="1613"/>
      <c r="Q75" s="1614"/>
      <c r="S75" s="769"/>
      <c r="T75" s="254"/>
      <c r="U75" s="254"/>
      <c r="V75" s="254"/>
      <c r="W75" s="254"/>
      <c r="X75" s="254"/>
    </row>
    <row r="76" spans="1:25" ht="45">
      <c r="E76" s="351"/>
      <c r="G76" s="1305" t="s">
        <v>1277</v>
      </c>
      <c r="H76" s="802"/>
      <c r="I76" s="799"/>
      <c r="J76" s="798"/>
      <c r="K76" s="799"/>
      <c r="M76" s="24" t="s">
        <v>105</v>
      </c>
      <c r="N76" s="24" t="s">
        <v>106</v>
      </c>
      <c r="O76" s="24" t="s">
        <v>102</v>
      </c>
      <c r="P76" s="24" t="s">
        <v>134</v>
      </c>
      <c r="Q76" s="24" t="s">
        <v>107</v>
      </c>
      <c r="S76" s="254"/>
      <c r="T76" s="254"/>
      <c r="U76" s="254"/>
      <c r="V76" s="254"/>
      <c r="W76" s="254"/>
      <c r="X76" s="254"/>
    </row>
    <row r="77" spans="1:25" ht="15.75">
      <c r="E77" s="254"/>
      <c r="G77" s="1306" t="s">
        <v>1278</v>
      </c>
      <c r="H77" s="802"/>
      <c r="I77" s="799"/>
      <c r="J77" s="799"/>
      <c r="K77" s="799"/>
      <c r="M77" s="25"/>
      <c r="N77" s="26"/>
      <c r="O77" s="26"/>
      <c r="P77" s="26"/>
      <c r="Q77" s="26">
        <f>D152</f>
        <v>0</v>
      </c>
      <c r="S77" s="254"/>
      <c r="T77" s="254"/>
      <c r="U77" s="254"/>
      <c r="V77" s="254"/>
      <c r="W77" s="254"/>
      <c r="X77" s="254"/>
    </row>
    <row r="78" spans="1:25" ht="15">
      <c r="D78" s="351"/>
      <c r="E78" s="254"/>
      <c r="G78" s="1307" t="s">
        <v>1279</v>
      </c>
      <c r="H78" s="802"/>
      <c r="I78" s="799"/>
      <c r="J78" s="799"/>
      <c r="K78" s="799"/>
      <c r="M78" s="25">
        <v>1</v>
      </c>
      <c r="N78" s="26">
        <f>P70*Q77/(1-(1+P70)^-5)</f>
        <v>0</v>
      </c>
      <c r="O78" s="26">
        <f>Q77*$P$70</f>
        <v>0</v>
      </c>
      <c r="P78" s="26">
        <f>N78-O78</f>
        <v>0</v>
      </c>
      <c r="Q78" s="26">
        <f>Q77-P78</f>
        <v>0</v>
      </c>
      <c r="S78" s="254"/>
      <c r="T78" s="254"/>
      <c r="U78" s="254"/>
      <c r="V78" s="254"/>
      <c r="W78" s="254"/>
      <c r="X78" s="254"/>
    </row>
    <row r="79" spans="1:25" ht="15">
      <c r="D79" s="351"/>
      <c r="E79" s="254"/>
      <c r="G79" s="1307" t="s">
        <v>1281</v>
      </c>
      <c r="H79" s="799"/>
      <c r="I79" s="799"/>
      <c r="J79" s="799"/>
      <c r="K79" s="799"/>
      <c r="M79" s="25">
        <v>2</v>
      </c>
      <c r="N79" s="26">
        <f>P70*Q77/(1-(1+P70)^-5)</f>
        <v>0</v>
      </c>
      <c r="O79" s="26">
        <f>Q78*$P$70</f>
        <v>0</v>
      </c>
      <c r="P79" s="26">
        <f>N79-O79</f>
        <v>0</v>
      </c>
      <c r="Q79" s="26">
        <f>Q78-P79</f>
        <v>0</v>
      </c>
      <c r="S79" s="254"/>
      <c r="T79" s="254"/>
      <c r="U79" s="254"/>
      <c r="V79" s="254"/>
      <c r="W79" s="254"/>
      <c r="X79" s="254"/>
    </row>
    <row r="80" spans="1:25">
      <c r="G80" s="803"/>
      <c r="H80" s="799"/>
      <c r="I80" s="799"/>
      <c r="J80" s="799"/>
      <c r="K80" s="799"/>
      <c r="M80" s="25">
        <v>3</v>
      </c>
      <c r="N80" s="26">
        <f>P70*Q77/(1-(1+P70)^-5)</f>
        <v>0</v>
      </c>
      <c r="O80" s="26">
        <f>Q79*$P$70</f>
        <v>0</v>
      </c>
      <c r="P80" s="26">
        <f>N80-O80</f>
        <v>0</v>
      </c>
      <c r="Q80" s="26">
        <f>Q79-P80</f>
        <v>0</v>
      </c>
    </row>
    <row r="81" spans="2:17">
      <c r="G81" s="804"/>
      <c r="H81" s="799"/>
      <c r="I81" s="799"/>
      <c r="J81" s="799"/>
      <c r="K81" s="799"/>
      <c r="M81" s="25">
        <v>4</v>
      </c>
      <c r="N81" s="26">
        <f>P70*Q77/(1-(1+P70)^-5)</f>
        <v>0</v>
      </c>
      <c r="O81" s="26">
        <f>Q80*$P$70</f>
        <v>0</v>
      </c>
      <c r="P81" s="26">
        <f>N81-O81</f>
        <v>0</v>
      </c>
      <c r="Q81" s="26">
        <f>Q80-P81</f>
        <v>0</v>
      </c>
    </row>
    <row r="82" spans="2:17">
      <c r="M82" s="766">
        <v>5</v>
      </c>
      <c r="N82" s="26">
        <f>P70*Q77/(1-(1+P70)^-5)</f>
        <v>0</v>
      </c>
      <c r="O82" s="26">
        <f>Q81*$P$70</f>
        <v>0</v>
      </c>
      <c r="P82" s="26">
        <f>N82-O82</f>
        <v>0</v>
      </c>
      <c r="Q82" s="26">
        <f>Q81-P82</f>
        <v>0</v>
      </c>
    </row>
    <row r="83" spans="2:17" ht="13.5" thickBot="1">
      <c r="M83" s="1785"/>
      <c r="N83" s="1714"/>
      <c r="O83" s="1714"/>
      <c r="P83" s="1714"/>
      <c r="Q83" s="1714"/>
    </row>
    <row r="84" spans="2:17" ht="15" thickBot="1">
      <c r="B84" s="1756" t="s">
        <v>1131</v>
      </c>
      <c r="C84" s="1757"/>
      <c r="D84" s="1757"/>
      <c r="E84" s="1757"/>
      <c r="F84" s="1757"/>
      <c r="G84" s="1757"/>
      <c r="H84" s="1757"/>
      <c r="I84" s="1757"/>
      <c r="J84" s="1757"/>
      <c r="K84" s="1758"/>
      <c r="L84" s="1056"/>
      <c r="M84" s="1056"/>
      <c r="N84" s="2"/>
      <c r="O84" s="2"/>
      <c r="P84" s="2"/>
      <c r="Q84" s="2"/>
    </row>
    <row r="85" spans="2:17" ht="30.75" thickBot="1">
      <c r="B85" s="1116" t="s">
        <v>577</v>
      </c>
      <c r="C85" s="402" t="s">
        <v>578</v>
      </c>
      <c r="D85" s="403" t="s">
        <v>579</v>
      </c>
      <c r="E85" s="403" t="s">
        <v>102</v>
      </c>
      <c r="F85" s="403" t="s">
        <v>580</v>
      </c>
      <c r="G85" s="403" t="s">
        <v>1128</v>
      </c>
      <c r="H85" s="403" t="s">
        <v>582</v>
      </c>
      <c r="I85" s="404" t="s">
        <v>583</v>
      </c>
      <c r="J85" s="405" t="s">
        <v>584</v>
      </c>
      <c r="K85" s="401" t="s">
        <v>585</v>
      </c>
      <c r="L85" s="1056"/>
      <c r="M85" s="401" t="s">
        <v>586</v>
      </c>
      <c r="N85" s="1759" t="s">
        <v>881</v>
      </c>
      <c r="O85" s="1759"/>
      <c r="P85" s="2"/>
      <c r="Q85" s="2"/>
    </row>
    <row r="86" spans="2:17" ht="14.25">
      <c r="B86" s="1115" t="s">
        <v>1208</v>
      </c>
      <c r="C86" s="1105">
        <v>400</v>
      </c>
      <c r="D86" s="1106" t="s">
        <v>1124</v>
      </c>
      <c r="E86" s="1107"/>
      <c r="F86" s="1107">
        <v>0</v>
      </c>
      <c r="G86" s="1108">
        <f>1+F86</f>
        <v>1</v>
      </c>
      <c r="H86" s="1109">
        <f>C86/G86</f>
        <v>400</v>
      </c>
      <c r="I86" s="1106">
        <v>1</v>
      </c>
      <c r="J86" s="1110">
        <f>I86*H86*(1+E86)</f>
        <v>400</v>
      </c>
      <c r="K86" s="1836">
        <f>SUM(J86:J90)</f>
        <v>3615</v>
      </c>
      <c r="L86" s="1717" t="s">
        <v>588</v>
      </c>
      <c r="M86" s="1718">
        <f>SUM(K86,L90)</f>
        <v>3730</v>
      </c>
      <c r="N86" s="1759"/>
      <c r="O86" s="1759"/>
      <c r="P86" s="2"/>
      <c r="Q86" s="2"/>
    </row>
    <row r="87" spans="2:17" ht="14.25">
      <c r="B87" s="1104" t="s">
        <v>1209</v>
      </c>
      <c r="C87" s="1105">
        <v>1480</v>
      </c>
      <c r="D87" s="1106" t="s">
        <v>1126</v>
      </c>
      <c r="E87" s="1107">
        <v>0</v>
      </c>
      <c r="F87" s="1107"/>
      <c r="G87" s="1108">
        <f>1+F87</f>
        <v>1</v>
      </c>
      <c r="H87" s="1109">
        <f>C87/G87</f>
        <v>1480</v>
      </c>
      <c r="I87" s="1108">
        <v>1</v>
      </c>
      <c r="J87" s="1110">
        <f>I87*H87*(1+E87)</f>
        <v>1480</v>
      </c>
      <c r="K87" s="1837"/>
      <c r="L87" s="1717"/>
      <c r="M87" s="1718"/>
      <c r="N87" s="1759"/>
      <c r="O87" s="1759"/>
      <c r="P87" s="2"/>
      <c r="Q87" s="2"/>
    </row>
    <row r="88" spans="2:17" ht="14.25">
      <c r="B88" s="1104" t="s">
        <v>1210</v>
      </c>
      <c r="C88" s="1105">
        <v>1600</v>
      </c>
      <c r="D88" s="1106" t="s">
        <v>1127</v>
      </c>
      <c r="E88" s="1107"/>
      <c r="F88" s="1107">
        <v>0</v>
      </c>
      <c r="G88" s="1108">
        <f>1+F88</f>
        <v>1</v>
      </c>
      <c r="H88" s="1109">
        <f>C88*G88</f>
        <v>1600</v>
      </c>
      <c r="I88" s="1106">
        <v>1</v>
      </c>
      <c r="J88" s="1110">
        <f>I88*H88*(1+E88)</f>
        <v>1600</v>
      </c>
      <c r="K88" s="1837"/>
      <c r="L88" s="1717"/>
      <c r="M88" s="1718"/>
      <c r="N88" s="1759"/>
      <c r="O88" s="1759"/>
      <c r="P88" s="2"/>
      <c r="Q88" s="2"/>
    </row>
    <row r="89" spans="2:17" ht="14.25">
      <c r="B89" s="1104" t="s">
        <v>1211</v>
      </c>
      <c r="C89" s="1105">
        <v>135</v>
      </c>
      <c r="D89" s="1106" t="s">
        <v>591</v>
      </c>
      <c r="E89" s="1107"/>
      <c r="F89" s="1107"/>
      <c r="G89" s="1108">
        <f>1+F89</f>
        <v>1</v>
      </c>
      <c r="H89" s="1109">
        <f>C89/G89</f>
        <v>135</v>
      </c>
      <c r="I89" s="1106">
        <v>1</v>
      </c>
      <c r="J89" s="1110">
        <f>I89*H89*(1+E89)</f>
        <v>135</v>
      </c>
      <c r="K89" s="1837"/>
      <c r="L89" s="1717"/>
      <c r="M89" s="1718"/>
      <c r="N89" s="1759"/>
      <c r="O89" s="1759"/>
      <c r="P89" s="2"/>
      <c r="Q89" s="2"/>
    </row>
    <row r="90" spans="2:17" ht="15.75" thickBot="1">
      <c r="B90" s="1111"/>
      <c r="C90" s="1112">
        <v>0</v>
      </c>
      <c r="D90" s="1113" t="s">
        <v>594</v>
      </c>
      <c r="E90" s="1114"/>
      <c r="F90" s="1114"/>
      <c r="G90" s="1108">
        <f>1+F90</f>
        <v>1</v>
      </c>
      <c r="H90" s="1109">
        <f>C90/G90</f>
        <v>0</v>
      </c>
      <c r="I90" s="1113">
        <v>1</v>
      </c>
      <c r="J90" s="1110">
        <f>I90*H90*(1+E90)</f>
        <v>0</v>
      </c>
      <c r="K90" s="1838"/>
      <c r="L90" s="418">
        <v>115</v>
      </c>
      <c r="M90" s="1718"/>
      <c r="N90" s="1759"/>
      <c r="O90" s="1759"/>
      <c r="P90" s="2"/>
      <c r="Q90" s="2"/>
    </row>
    <row r="91" spans="2:17" ht="14.25">
      <c r="B91" s="1056"/>
      <c r="C91" s="419" t="s">
        <v>595</v>
      </c>
      <c r="D91" s="1056"/>
      <c r="E91" s="1719" t="s">
        <v>596</v>
      </c>
      <c r="F91" s="1720"/>
      <c r="I91" s="419" t="s">
        <v>595</v>
      </c>
      <c r="J91" s="1056"/>
      <c r="K91" s="1056"/>
      <c r="L91" s="419" t="s">
        <v>597</v>
      </c>
      <c r="M91" s="1056"/>
      <c r="N91" s="1759"/>
      <c r="O91" s="1759"/>
      <c r="P91" s="2"/>
      <c r="Q91" s="2"/>
    </row>
    <row r="92" spans="2:17" ht="14.25">
      <c r="G92" s="1117"/>
      <c r="H92" s="1118"/>
      <c r="M92" s="2"/>
      <c r="N92" s="2"/>
      <c r="O92" s="2"/>
      <c r="P92" s="2"/>
      <c r="Q92" s="2"/>
    </row>
    <row r="93" spans="2:17">
      <c r="H93" s="255"/>
      <c r="M93" s="2"/>
      <c r="N93" s="2"/>
      <c r="O93" s="2"/>
      <c r="P93" s="2"/>
      <c r="Q93" s="2"/>
    </row>
    <row r="94" spans="2:17" ht="13.5" thickBot="1">
      <c r="M94" s="2"/>
      <c r="N94" s="2"/>
      <c r="O94" s="2"/>
      <c r="P94" s="2"/>
      <c r="Q94" s="2"/>
    </row>
    <row r="95" spans="2:17" ht="34.5" customHeight="1">
      <c r="D95" s="1205"/>
      <c r="E95" s="1206"/>
      <c r="F95" s="1207"/>
      <c r="G95" s="1208"/>
      <c r="I95" s="1842" t="s">
        <v>1160</v>
      </c>
      <c r="J95" s="1842"/>
      <c r="K95" s="1842"/>
      <c r="L95" s="1842"/>
      <c r="M95" s="2"/>
      <c r="N95" s="2"/>
      <c r="O95" s="2"/>
      <c r="P95" s="2"/>
      <c r="Q95" s="2"/>
    </row>
    <row r="96" spans="2:17" ht="13.5" customHeight="1">
      <c r="D96" s="1209"/>
      <c r="E96" s="257"/>
      <c r="F96" s="257"/>
      <c r="G96" s="1210"/>
      <c r="M96" s="4"/>
      <c r="N96" s="5"/>
      <c r="O96" s="5"/>
      <c r="P96" s="5"/>
      <c r="Q96" s="5"/>
    </row>
    <row r="97" spans="3:22" ht="13.5" thickBot="1">
      <c r="D97" s="1211"/>
      <c r="E97" s="1212"/>
      <c r="F97" s="1212"/>
      <c r="G97" s="1213"/>
      <c r="M97" s="4"/>
      <c r="N97" s="5"/>
      <c r="O97" s="5"/>
      <c r="P97" s="5"/>
      <c r="Q97" s="5"/>
    </row>
    <row r="98" spans="3:22" ht="13.5" thickBot="1">
      <c r="D98" s="1839"/>
      <c r="E98" s="1840"/>
      <c r="F98" s="1840"/>
      <c r="G98" s="1841"/>
      <c r="M98" s="4"/>
      <c r="N98" s="5"/>
      <c r="O98" s="5"/>
      <c r="P98" s="5"/>
      <c r="Q98" s="5"/>
    </row>
    <row r="99" spans="3:22">
      <c r="H99" s="254"/>
      <c r="M99" s="4"/>
      <c r="N99" s="5"/>
      <c r="O99" s="5"/>
      <c r="P99" s="5"/>
      <c r="Q99" s="5"/>
    </row>
    <row r="100" spans="3:22">
      <c r="F100" s="768"/>
    </row>
    <row r="101" spans="3:22">
      <c r="C101" s="272" t="s">
        <v>1245</v>
      </c>
      <c r="D101" s="25"/>
      <c r="E101" s="595">
        <f>$N$110</f>
        <v>19371.2035</v>
      </c>
      <c r="F101" s="595">
        <v>24214.004375</v>
      </c>
      <c r="G101" s="595">
        <v>29056.805249999998</v>
      </c>
      <c r="H101" s="595">
        <v>31962.485775000001</v>
      </c>
      <c r="I101" s="595">
        <v>35836.726475000003</v>
      </c>
      <c r="P101" s="272"/>
      <c r="Q101" s="25"/>
      <c r="R101" s="25"/>
      <c r="S101" s="25"/>
      <c r="T101" s="25"/>
      <c r="U101" s="25"/>
      <c r="V101" s="25"/>
    </row>
    <row r="102" spans="3:22">
      <c r="C102" s="272" t="s">
        <v>365</v>
      </c>
      <c r="D102" s="25"/>
      <c r="E102" s="595">
        <v>60000</v>
      </c>
      <c r="F102" s="595">
        <v>60000</v>
      </c>
      <c r="G102" s="595">
        <v>60000</v>
      </c>
      <c r="H102" s="595">
        <v>60000</v>
      </c>
      <c r="I102" s="595">
        <v>60000</v>
      </c>
      <c r="P102" s="272"/>
      <c r="Q102" s="25"/>
      <c r="R102" s="25"/>
      <c r="S102" s="25"/>
      <c r="T102" s="25"/>
      <c r="U102" s="25"/>
      <c r="V102" s="25"/>
    </row>
    <row r="103" spans="3:22">
      <c r="C103" s="272" t="s">
        <v>1246</v>
      </c>
      <c r="D103" s="25"/>
      <c r="E103" s="595">
        <f>E102-E101</f>
        <v>40628.796499999997</v>
      </c>
      <c r="F103" s="1258">
        <f>F102-F101+E103-50000</f>
        <v>26414.792124999993</v>
      </c>
      <c r="G103" s="595">
        <f>G102-G101+F103</f>
        <v>57357.986874999995</v>
      </c>
      <c r="H103" s="595">
        <f>H102-H101+G103</f>
        <v>85395.501099999994</v>
      </c>
      <c r="I103" s="595">
        <f>I102-I101+H103</f>
        <v>109558.77462499999</v>
      </c>
      <c r="P103" s="272"/>
      <c r="Q103" s="25"/>
      <c r="R103" s="25"/>
      <c r="S103" s="25"/>
      <c r="T103" s="25"/>
      <c r="U103" s="25"/>
      <c r="V103" s="25"/>
    </row>
    <row r="104" spans="3:22">
      <c r="C104" s="27" t="s">
        <v>361</v>
      </c>
      <c r="D104" s="27" t="s">
        <v>112</v>
      </c>
      <c r="E104" s="27" t="s">
        <v>113</v>
      </c>
      <c r="F104" s="27" t="s">
        <v>114</v>
      </c>
      <c r="G104" s="27" t="s">
        <v>115</v>
      </c>
      <c r="H104" s="27" t="s">
        <v>116</v>
      </c>
      <c r="I104" s="27" t="s">
        <v>117</v>
      </c>
      <c r="P104" s="27"/>
      <c r="Q104" s="27"/>
      <c r="R104" s="27"/>
      <c r="S104" s="27"/>
      <c r="T104" s="27"/>
      <c r="U104" s="27"/>
      <c r="V104" s="27"/>
    </row>
    <row r="105" spans="3:22">
      <c r="C105" s="269" t="s">
        <v>118</v>
      </c>
      <c r="D105" s="270"/>
      <c r="E105" s="270"/>
      <c r="F105" s="270"/>
      <c r="G105" s="270"/>
      <c r="H105" s="270"/>
      <c r="I105" s="270"/>
      <c r="M105" s="351" t="s">
        <v>1222</v>
      </c>
      <c r="P105" s="269"/>
      <c r="Q105" s="270"/>
      <c r="R105" s="270"/>
      <c r="S105" s="270"/>
      <c r="T105" s="270"/>
      <c r="U105" s="270"/>
      <c r="V105" s="270"/>
    </row>
    <row r="106" spans="3:22">
      <c r="C106" s="25" t="s">
        <v>356</v>
      </c>
      <c r="D106" s="752"/>
      <c r="E106" s="752">
        <f>E101*$G$49</f>
        <v>203397636.75</v>
      </c>
      <c r="F106" s="752">
        <f>F101*$G$49</f>
        <v>254247045.9375</v>
      </c>
      <c r="G106" s="752">
        <f>G101*$G$49</f>
        <v>305096455.125</v>
      </c>
      <c r="H106" s="752">
        <f>H101*$G$49</f>
        <v>335606100.63749999</v>
      </c>
      <c r="I106" s="752">
        <f>I101*$G$49</f>
        <v>376285627.98750001</v>
      </c>
      <c r="L106" s="595">
        <v>3522037</v>
      </c>
      <c r="M106" s="208">
        <v>0.3</v>
      </c>
      <c r="P106" s="25"/>
      <c r="Q106" s="26"/>
      <c r="R106" s="26"/>
      <c r="S106" s="26"/>
      <c r="T106" s="26"/>
      <c r="U106" s="26"/>
      <c r="V106" s="26"/>
    </row>
    <row r="107" spans="3:22">
      <c r="C107" s="25" t="s">
        <v>1144</v>
      </c>
      <c r="D107" s="752"/>
      <c r="E107" s="752"/>
      <c r="F107" s="752"/>
      <c r="G107" s="752"/>
      <c r="H107" s="752"/>
      <c r="I107" s="752"/>
      <c r="M107" s="208">
        <v>0.25</v>
      </c>
      <c r="P107" s="25"/>
      <c r="Q107" s="26"/>
      <c r="R107" s="26"/>
      <c r="S107" s="26"/>
      <c r="T107" s="26"/>
      <c r="U107" s="26"/>
      <c r="V107" s="26"/>
    </row>
    <row r="108" spans="3:22">
      <c r="C108" s="25" t="s">
        <v>1247</v>
      </c>
      <c r="D108" s="752"/>
      <c r="E108" s="752"/>
      <c r="F108" s="752">
        <f>50000*G49</f>
        <v>525000000</v>
      </c>
      <c r="G108" s="752"/>
      <c r="H108" s="752"/>
      <c r="I108" s="752"/>
      <c r="M108" s="208"/>
      <c r="P108" s="25"/>
      <c r="Q108" s="26"/>
      <c r="R108" s="26"/>
      <c r="S108" s="26"/>
      <c r="T108" s="26"/>
      <c r="U108" s="26"/>
      <c r="V108" s="26"/>
    </row>
    <row r="109" spans="3:22">
      <c r="C109" s="25" t="s">
        <v>1226</v>
      </c>
      <c r="D109" s="752"/>
      <c r="E109" s="752"/>
      <c r="F109" s="752"/>
      <c r="G109" s="752"/>
      <c r="H109" s="752"/>
      <c r="I109" s="752">
        <f>(I131/2)*-1</f>
        <v>3861000</v>
      </c>
      <c r="K109" s="351" t="s">
        <v>1215</v>
      </c>
      <c r="L109" s="595">
        <f>L106*M107+L106*M106</f>
        <v>1937120.3499999999</v>
      </c>
      <c r="P109" s="25"/>
      <c r="Q109" s="26"/>
      <c r="R109" s="26"/>
      <c r="S109" s="26"/>
      <c r="T109" s="26"/>
      <c r="U109" s="26"/>
      <c r="V109" s="26"/>
    </row>
    <row r="110" spans="3:22">
      <c r="C110" s="25"/>
      <c r="D110" s="752"/>
      <c r="E110" s="752"/>
      <c r="F110" s="752"/>
      <c r="G110" s="752"/>
      <c r="H110" s="752"/>
      <c r="I110" s="752"/>
      <c r="L110" s="351" t="s">
        <v>1214</v>
      </c>
      <c r="M110" s="208">
        <v>0.01</v>
      </c>
      <c r="N110" s="768">
        <f>L109*M110</f>
        <v>19371.2035</v>
      </c>
      <c r="P110" s="25"/>
      <c r="Q110" s="26"/>
      <c r="R110" s="26"/>
      <c r="S110" s="26"/>
      <c r="T110" s="26"/>
      <c r="U110" s="26"/>
      <c r="V110" s="26"/>
    </row>
    <row r="111" spans="3:22">
      <c r="C111" s="25"/>
      <c r="D111" s="752"/>
      <c r="E111" s="752"/>
      <c r="F111" s="752"/>
      <c r="G111" s="752"/>
      <c r="H111" s="752"/>
      <c r="I111" s="753"/>
      <c r="M111" s="1215">
        <v>1.2500000000000001E-2</v>
      </c>
      <c r="N111" s="768">
        <f>L109*M111</f>
        <v>24214.004375</v>
      </c>
      <c r="P111" s="25"/>
      <c r="Q111" s="26"/>
      <c r="R111" s="26"/>
      <c r="S111" s="26"/>
      <c r="T111" s="26"/>
      <c r="U111" s="26"/>
      <c r="V111" s="280"/>
    </row>
    <row r="112" spans="3:22">
      <c r="C112" s="25" t="s">
        <v>1236</v>
      </c>
      <c r="D112" s="752"/>
      <c r="E112" s="752"/>
      <c r="F112" s="752"/>
      <c r="G112" s="752"/>
      <c r="H112" s="752"/>
      <c r="I112" s="753">
        <f>D154*0.6*-1</f>
        <v>7350000</v>
      </c>
      <c r="M112" s="1215">
        <v>1.4999999999999999E-2</v>
      </c>
      <c r="N112" s="768">
        <f>L109*M112</f>
        <v>29056.805249999998</v>
      </c>
      <c r="P112" s="25"/>
      <c r="Q112" s="26"/>
      <c r="R112" s="26"/>
      <c r="S112" s="26"/>
      <c r="T112" s="26"/>
      <c r="U112" s="26"/>
      <c r="V112" s="280"/>
    </row>
    <row r="113" spans="2:22">
      <c r="C113" s="25" t="s">
        <v>1237</v>
      </c>
      <c r="D113" s="752"/>
      <c r="E113" s="752"/>
      <c r="F113" s="752"/>
      <c r="G113" s="752"/>
      <c r="H113" s="752"/>
      <c r="I113" s="753">
        <f>D155*0.1*-1</f>
        <v>2800000</v>
      </c>
      <c r="M113" s="1215"/>
      <c r="N113" s="768"/>
      <c r="P113" s="25"/>
      <c r="Q113" s="26"/>
      <c r="R113" s="26"/>
      <c r="S113" s="26"/>
      <c r="T113" s="26"/>
      <c r="U113" s="26"/>
      <c r="V113" s="280"/>
    </row>
    <row r="114" spans="2:22">
      <c r="C114" s="25" t="s">
        <v>1238</v>
      </c>
      <c r="D114" s="752"/>
      <c r="E114" s="752"/>
      <c r="F114" s="752"/>
      <c r="G114" s="752"/>
      <c r="H114" s="752"/>
      <c r="I114" s="753">
        <f>D156*0.15*-1</f>
        <v>5591250</v>
      </c>
      <c r="M114" s="1215"/>
      <c r="N114" s="768"/>
      <c r="P114" s="25"/>
      <c r="Q114" s="26"/>
      <c r="R114" s="26"/>
      <c r="S114" s="26"/>
      <c r="T114" s="26"/>
      <c r="U114" s="26"/>
      <c r="V114" s="280"/>
    </row>
    <row r="115" spans="2:22">
      <c r="C115" s="25" t="s">
        <v>1123</v>
      </c>
      <c r="D115" s="752"/>
      <c r="E115" s="752"/>
      <c r="F115" s="752"/>
      <c r="G115" s="752"/>
      <c r="H115" s="752"/>
      <c r="I115" s="753"/>
      <c r="J115" s="351"/>
      <c r="M115" s="1215">
        <v>1.6500000000000001E-2</v>
      </c>
      <c r="N115" s="768">
        <f>L109*M115</f>
        <v>31962.485775000001</v>
      </c>
      <c r="P115" s="25"/>
      <c r="Q115" s="26"/>
      <c r="R115" s="26"/>
      <c r="S115" s="26"/>
      <c r="T115" s="26"/>
      <c r="U115" s="26"/>
      <c r="V115" s="280"/>
    </row>
    <row r="116" spans="2:22">
      <c r="C116" s="25" t="s">
        <v>1158</v>
      </c>
      <c r="D116" s="752"/>
      <c r="E116" s="752"/>
      <c r="F116" s="752"/>
      <c r="G116" s="752"/>
      <c r="H116" s="752"/>
      <c r="I116" s="753"/>
      <c r="J116" s="351"/>
      <c r="M116" s="1215">
        <v>1.8500000000000003E-2</v>
      </c>
      <c r="N116" s="768">
        <f>L109*M116</f>
        <v>35836.726475000003</v>
      </c>
      <c r="P116" s="25"/>
      <c r="Q116" s="26"/>
      <c r="R116" s="26"/>
      <c r="S116" s="26"/>
      <c r="T116" s="26"/>
      <c r="U116" s="26"/>
      <c r="V116" s="280"/>
    </row>
    <row r="117" spans="2:22">
      <c r="C117" s="269" t="s">
        <v>121</v>
      </c>
      <c r="D117" s="754"/>
      <c r="E117" s="754"/>
      <c r="F117" s="754"/>
      <c r="G117" s="754"/>
      <c r="H117" s="754"/>
      <c r="I117" s="754"/>
      <c r="P117" s="269"/>
      <c r="Q117" s="270"/>
      <c r="R117" s="270"/>
      <c r="S117" s="270"/>
      <c r="T117" s="270"/>
      <c r="U117" s="270"/>
      <c r="V117" s="270"/>
    </row>
    <row r="118" spans="2:22">
      <c r="C118" s="25" t="s">
        <v>122</v>
      </c>
      <c r="D118" s="752"/>
      <c r="F118" s="254">
        <v>-41471610.806353703</v>
      </c>
      <c r="G118" s="254">
        <v>-40900179.666946799</v>
      </c>
      <c r="H118" s="254">
        <v>-39717380.070497297</v>
      </c>
      <c r="I118" s="254">
        <v>-37269115.023525603</v>
      </c>
      <c r="J118" s="254">
        <v>-32201475.705575299</v>
      </c>
      <c r="K118" s="254">
        <v>-21712019.7994016</v>
      </c>
      <c r="P118" s="25"/>
      <c r="Q118" s="26"/>
      <c r="R118" s="26"/>
      <c r="S118" s="26"/>
      <c r="T118" s="26"/>
      <c r="U118" s="26"/>
      <c r="V118" s="26"/>
    </row>
    <row r="119" spans="2:22">
      <c r="C119" s="47" t="s">
        <v>1132</v>
      </c>
      <c r="D119" s="752"/>
      <c r="E119" s="752"/>
      <c r="F119" s="752"/>
      <c r="G119" s="752"/>
      <c r="H119" s="752"/>
      <c r="I119" s="752"/>
      <c r="J119" s="351"/>
      <c r="P119" s="47"/>
      <c r="Q119" s="26"/>
      <c r="R119" s="26"/>
      <c r="S119" s="26"/>
      <c r="T119" s="26"/>
      <c r="U119" s="26"/>
      <c r="V119" s="26"/>
    </row>
    <row r="120" spans="2:22">
      <c r="C120" s="631" t="s">
        <v>1213</v>
      </c>
      <c r="D120" s="752"/>
      <c r="E120" s="752">
        <f>-$I$55</f>
        <v>-10501312.5</v>
      </c>
      <c r="F120" s="752">
        <f>-$I$55</f>
        <v>-10501312.5</v>
      </c>
      <c r="G120" s="752">
        <f>-$I$55</f>
        <v>-10501312.5</v>
      </c>
      <c r="H120" s="752">
        <f>-$I$55</f>
        <v>-10501312.5</v>
      </c>
      <c r="I120" s="752">
        <f>-$I$55</f>
        <v>-10501312.5</v>
      </c>
      <c r="P120" s="47"/>
      <c r="Q120" s="26"/>
      <c r="R120" s="26"/>
      <c r="S120" s="26"/>
      <c r="T120" s="26"/>
      <c r="U120" s="26"/>
      <c r="V120" s="26"/>
    </row>
    <row r="121" spans="2:22">
      <c r="C121" s="1119" t="s">
        <v>1133</v>
      </c>
      <c r="D121" s="752"/>
      <c r="E121" s="752"/>
      <c r="F121" s="752"/>
      <c r="G121" s="752"/>
      <c r="H121" s="752"/>
      <c r="I121" s="752"/>
      <c r="P121" s="47"/>
      <c r="Q121" s="26"/>
      <c r="R121" s="26"/>
      <c r="S121" s="26"/>
      <c r="T121" s="26"/>
      <c r="U121" s="26"/>
      <c r="V121" s="26"/>
    </row>
    <row r="122" spans="2:22">
      <c r="C122" s="342" t="s">
        <v>1140</v>
      </c>
      <c r="D122" s="765"/>
      <c r="E122" s="752"/>
      <c r="F122" s="752"/>
      <c r="G122" s="752"/>
      <c r="H122" s="752"/>
      <c r="I122" s="752"/>
      <c r="P122" s="47"/>
      <c r="Q122" s="26"/>
      <c r="R122" s="26"/>
      <c r="S122" s="26"/>
      <c r="T122" s="26"/>
      <c r="U122" s="26"/>
      <c r="V122" s="26"/>
    </row>
    <row r="123" spans="2:22">
      <c r="C123" s="1120" t="s">
        <v>1141</v>
      </c>
      <c r="D123" s="765"/>
      <c r="E123" s="752"/>
      <c r="F123" s="752"/>
      <c r="G123" s="752"/>
      <c r="H123" s="752"/>
      <c r="I123" s="752"/>
      <c r="P123" s="47"/>
      <c r="Q123" s="26"/>
      <c r="R123" s="26"/>
      <c r="S123" s="26"/>
      <c r="T123" s="26"/>
      <c r="U123" s="26"/>
      <c r="V123" s="26"/>
    </row>
    <row r="124" spans="2:22">
      <c r="C124" s="102" t="s">
        <v>1241</v>
      </c>
      <c r="D124" s="752"/>
      <c r="E124" s="752">
        <f>E106*0.018*-1</f>
        <v>-3661157.4614999997</v>
      </c>
      <c r="F124" s="752">
        <f>F106*0.018*-1</f>
        <v>-4576446.8268749993</v>
      </c>
      <c r="G124" s="752">
        <f>G106*0.018*-1</f>
        <v>-5491736.1922499994</v>
      </c>
      <c r="H124" s="752">
        <f>H106*0.018*-1</f>
        <v>-6040909.8114749994</v>
      </c>
      <c r="I124" s="752">
        <f>I106*0.018*-1</f>
        <v>-6773141.3037749995</v>
      </c>
      <c r="P124" s="47"/>
      <c r="Q124" s="26"/>
      <c r="R124" s="26"/>
      <c r="S124" s="26"/>
      <c r="T124" s="26"/>
      <c r="U124" s="26"/>
      <c r="V124" s="26"/>
    </row>
    <row r="125" spans="2:22" ht="15.75" customHeight="1">
      <c r="C125" s="287" t="s">
        <v>1200</v>
      </c>
      <c r="D125" s="752"/>
      <c r="E125" s="752">
        <v>-1800000</v>
      </c>
      <c r="F125" s="752">
        <v>-1800000</v>
      </c>
      <c r="G125" s="752">
        <v>-1800000</v>
      </c>
      <c r="H125" s="752">
        <f>-1800000*1.25</f>
        <v>-2250000</v>
      </c>
      <c r="I125" s="752">
        <f>-1800000*1.25</f>
        <v>-2250000</v>
      </c>
      <c r="P125" s="287"/>
      <c r="Q125" s="26"/>
      <c r="R125" s="26"/>
      <c r="S125" s="26"/>
      <c r="T125" s="26"/>
      <c r="U125" s="26"/>
      <c r="V125" s="26"/>
    </row>
    <row r="126" spans="2:22" ht="15.75" customHeight="1">
      <c r="B126" s="351"/>
      <c r="C126" s="199" t="s">
        <v>1203</v>
      </c>
      <c r="D126" s="752"/>
      <c r="E126" s="752">
        <f>-900*175*12</f>
        <v>-1890000</v>
      </c>
      <c r="F126" s="752">
        <f>-900*175*12</f>
        <v>-1890000</v>
      </c>
      <c r="G126" s="752">
        <f>-900*175*12</f>
        <v>-1890000</v>
      </c>
      <c r="H126" s="752">
        <f>-900*175*12</f>
        <v>-1890000</v>
      </c>
      <c r="I126" s="752">
        <f>-900*175*12</f>
        <v>-1890000</v>
      </c>
      <c r="J126" s="351"/>
      <c r="P126" s="199"/>
      <c r="Q126" s="26"/>
      <c r="R126" s="26"/>
      <c r="S126" s="26"/>
      <c r="T126" s="26"/>
      <c r="U126" s="26"/>
      <c r="V126" s="26"/>
    </row>
    <row r="127" spans="2:22" ht="15.75" customHeight="1">
      <c r="B127" s="351"/>
      <c r="C127" s="1238" t="s">
        <v>1202</v>
      </c>
      <c r="D127" s="1239"/>
      <c r="E127" s="1239"/>
      <c r="F127" s="1239"/>
      <c r="G127" s="1239"/>
      <c r="H127" s="1239"/>
      <c r="I127" s="1239"/>
      <c r="J127" s="381" t="s">
        <v>1223</v>
      </c>
      <c r="P127" s="199"/>
      <c r="Q127" s="26"/>
      <c r="R127" s="26"/>
      <c r="S127" s="26"/>
      <c r="T127" s="26"/>
      <c r="U127" s="26"/>
      <c r="V127" s="26"/>
    </row>
    <row r="128" spans="2:22" ht="15.75" customHeight="1">
      <c r="B128" s="351"/>
      <c r="C128" s="199" t="s">
        <v>1138</v>
      </c>
      <c r="D128" s="752"/>
      <c r="E128" s="752"/>
      <c r="F128" s="752"/>
      <c r="G128" s="752"/>
      <c r="H128" s="752"/>
      <c r="I128" s="752"/>
      <c r="J128" s="351"/>
      <c r="P128" s="199"/>
      <c r="Q128" s="26"/>
      <c r="R128" s="26"/>
      <c r="S128" s="26"/>
      <c r="T128" s="26"/>
      <c r="U128" s="26"/>
      <c r="V128" s="26"/>
    </row>
    <row r="129" spans="2:22" ht="15.75" customHeight="1">
      <c r="B129" s="351"/>
      <c r="C129" s="199" t="s">
        <v>1134</v>
      </c>
      <c r="D129" s="752"/>
      <c r="E129" s="752"/>
      <c r="F129" s="752"/>
      <c r="G129" s="752"/>
      <c r="H129" s="752"/>
      <c r="I129" s="752"/>
      <c r="J129" s="351"/>
      <c r="P129" s="199"/>
      <c r="Q129" s="26"/>
      <c r="R129" s="26"/>
      <c r="S129" s="26"/>
      <c r="T129" s="26"/>
      <c r="U129" s="26"/>
      <c r="V129" s="26"/>
    </row>
    <row r="130" spans="2:22" ht="15.75" customHeight="1">
      <c r="B130" s="351"/>
      <c r="C130" s="199" t="s">
        <v>868</v>
      </c>
      <c r="D130" s="752"/>
      <c r="E130" s="752"/>
      <c r="F130" s="752"/>
      <c r="G130" s="752"/>
      <c r="H130" s="752"/>
      <c r="I130" s="752"/>
      <c r="P130" s="199"/>
      <c r="Q130" s="26"/>
      <c r="R130" s="26"/>
      <c r="S130" s="26"/>
      <c r="T130" s="26"/>
      <c r="U130" s="26"/>
      <c r="V130" s="26"/>
    </row>
    <row r="131" spans="2:22" ht="15.75" customHeight="1">
      <c r="B131" s="351"/>
      <c r="C131" s="199" t="s">
        <v>1227</v>
      </c>
      <c r="D131" s="752"/>
      <c r="E131" s="752">
        <f>-180000*1.65*13*2</f>
        <v>-7722000</v>
      </c>
      <c r="F131" s="752">
        <f>-180000*1.65*13*2</f>
        <v>-7722000</v>
      </c>
      <c r="G131" s="752">
        <f>-180000*1.65*13*2</f>
        <v>-7722000</v>
      </c>
      <c r="H131" s="752">
        <f>-180000*1.65*13*2</f>
        <v>-7722000</v>
      </c>
      <c r="I131" s="752">
        <f>-180000*1.65*13*2</f>
        <v>-7722000</v>
      </c>
      <c r="P131" s="199"/>
      <c r="Q131" s="26"/>
      <c r="R131" s="26"/>
      <c r="S131" s="26"/>
      <c r="T131" s="26"/>
      <c r="U131" s="26"/>
      <c r="V131" s="26"/>
    </row>
    <row r="132" spans="2:22" ht="15.75" customHeight="1">
      <c r="B132" s="351"/>
      <c r="C132" s="199" t="s">
        <v>1228</v>
      </c>
      <c r="D132" s="752"/>
      <c r="E132" s="752">
        <f>-180000*1.65*13*1</f>
        <v>-3861000</v>
      </c>
      <c r="F132" s="752">
        <f>-180000*1.65*13*1</f>
        <v>-3861000</v>
      </c>
      <c r="G132" s="752">
        <f>-180000*1.65*13*1</f>
        <v>-3861000</v>
      </c>
      <c r="H132" s="752">
        <f>-180000*1.65*13*1</f>
        <v>-3861000</v>
      </c>
      <c r="I132" s="819"/>
      <c r="P132" s="199"/>
      <c r="Q132" s="26"/>
      <c r="R132" s="26"/>
      <c r="S132" s="26"/>
      <c r="T132" s="26"/>
      <c r="U132" s="26"/>
      <c r="V132" s="26"/>
    </row>
    <row r="133" spans="2:22" ht="15.75" customHeight="1">
      <c r="C133" s="199" t="s">
        <v>543</v>
      </c>
      <c r="D133" s="752"/>
      <c r="E133" s="752"/>
      <c r="F133" s="752"/>
      <c r="G133" s="752"/>
      <c r="H133" s="752"/>
      <c r="I133" s="752"/>
      <c r="P133" s="199"/>
      <c r="Q133" s="26"/>
      <c r="R133" s="26"/>
      <c r="S133" s="26"/>
      <c r="T133" s="26"/>
      <c r="U133" s="26"/>
      <c r="V133" s="26"/>
    </row>
    <row r="134" spans="2:22" ht="15.75" customHeight="1">
      <c r="C134" s="199" t="s">
        <v>766</v>
      </c>
      <c r="D134" s="752"/>
      <c r="E134" s="752"/>
      <c r="F134" s="752"/>
      <c r="G134" s="752"/>
      <c r="H134" s="752"/>
      <c r="I134" s="752"/>
      <c r="J134" s="351"/>
      <c r="P134" s="199"/>
      <c r="Q134" s="26"/>
      <c r="R134" s="26"/>
      <c r="S134" s="26"/>
      <c r="T134" s="26"/>
      <c r="U134" s="26"/>
      <c r="V134" s="26"/>
    </row>
    <row r="135" spans="2:22">
      <c r="C135" s="267" t="s">
        <v>125</v>
      </c>
      <c r="D135" s="755"/>
      <c r="E135" s="755"/>
      <c r="F135" s="755"/>
      <c r="G135" s="755"/>
      <c r="H135" s="755"/>
      <c r="I135" s="755"/>
      <c r="P135" s="267"/>
      <c r="Q135" s="268"/>
      <c r="R135" s="268"/>
      <c r="S135" s="268"/>
      <c r="T135" s="268"/>
      <c r="U135" s="268"/>
      <c r="V135" s="268"/>
    </row>
    <row r="136" spans="2:22">
      <c r="C136" s="25" t="s">
        <v>761</v>
      </c>
      <c r="D136" s="752"/>
      <c r="E136" s="752">
        <f>$D$154/10</f>
        <v>-1225000</v>
      </c>
      <c r="F136" s="752">
        <f>$D$154/10</f>
        <v>-1225000</v>
      </c>
      <c r="G136" s="752">
        <f>$D$154/10</f>
        <v>-1225000</v>
      </c>
      <c r="H136" s="752">
        <f>$D$154/10</f>
        <v>-1225000</v>
      </c>
      <c r="I136" s="752">
        <f>$D$154/10</f>
        <v>-1225000</v>
      </c>
      <c r="J136" s="1746"/>
      <c r="K136" s="1747"/>
      <c r="L136" s="1747"/>
      <c r="M136" s="1747"/>
      <c r="P136" s="25"/>
      <c r="Q136" s="26"/>
      <c r="R136" s="26"/>
      <c r="S136" s="26"/>
      <c r="T136" s="26"/>
      <c r="U136" s="26"/>
      <c r="V136" s="26"/>
    </row>
    <row r="137" spans="2:22">
      <c r="C137" s="25" t="s">
        <v>1234</v>
      </c>
      <c r="D137" s="752"/>
      <c r="E137" s="752">
        <f>$D$155/5</f>
        <v>-5600000</v>
      </c>
      <c r="F137" s="752">
        <f>$D$155/5</f>
        <v>-5600000</v>
      </c>
      <c r="G137" s="752">
        <f>$D$155/5</f>
        <v>-5600000</v>
      </c>
      <c r="H137" s="752">
        <f>$D$155/5</f>
        <v>-5600000</v>
      </c>
      <c r="I137" s="752">
        <f>$D$155/5</f>
        <v>-5600000</v>
      </c>
      <c r="P137" s="25"/>
      <c r="Q137" s="26"/>
      <c r="R137" s="26"/>
      <c r="S137" s="26"/>
      <c r="T137" s="26"/>
      <c r="U137" s="26"/>
      <c r="V137" s="26"/>
    </row>
    <row r="138" spans="2:22">
      <c r="C138" s="25" t="s">
        <v>1235</v>
      </c>
      <c r="D138" s="752"/>
      <c r="E138" s="752">
        <f>$D$156/3</f>
        <v>-12425000</v>
      </c>
      <c r="F138" s="752">
        <f>$D$156/3</f>
        <v>-12425000</v>
      </c>
      <c r="G138" s="752">
        <f>$D$156/3</f>
        <v>-12425000</v>
      </c>
      <c r="H138" s="752"/>
      <c r="I138" s="752"/>
      <c r="P138" s="25"/>
      <c r="Q138" s="26"/>
      <c r="R138" s="26"/>
      <c r="S138" s="26"/>
      <c r="T138" s="26"/>
      <c r="U138" s="26"/>
      <c r="V138" s="26"/>
    </row>
    <row r="139" spans="2:22">
      <c r="C139" s="25" t="s">
        <v>1151</v>
      </c>
      <c r="D139" s="752"/>
      <c r="E139" s="752"/>
      <c r="F139" s="752"/>
      <c r="G139" s="752"/>
      <c r="H139" s="752"/>
      <c r="I139" s="752"/>
      <c r="P139" s="25"/>
      <c r="Q139" s="26"/>
      <c r="R139" s="26"/>
      <c r="S139" s="26"/>
      <c r="T139" s="26"/>
      <c r="U139" s="26"/>
      <c r="V139" s="26"/>
    </row>
    <row r="140" spans="2:22">
      <c r="C140" s="25" t="s">
        <v>787</v>
      </c>
      <c r="D140" s="752"/>
      <c r="E140" s="752"/>
      <c r="F140" s="752"/>
      <c r="G140" s="752"/>
      <c r="H140" s="752"/>
      <c r="I140" s="756"/>
      <c r="P140" s="25"/>
      <c r="Q140" s="26"/>
      <c r="R140" s="26"/>
      <c r="S140" s="26"/>
      <c r="T140" s="26"/>
      <c r="U140" s="26"/>
      <c r="V140" s="26"/>
    </row>
    <row r="141" spans="2:22">
      <c r="C141" s="25" t="s">
        <v>333</v>
      </c>
      <c r="D141" s="752"/>
      <c r="E141" s="752"/>
      <c r="F141" s="752"/>
      <c r="G141" s="752"/>
      <c r="H141" s="752"/>
      <c r="I141" s="759">
        <f>I136*5</f>
        <v>-6125000</v>
      </c>
      <c r="P141" s="25"/>
      <c r="Q141" s="26"/>
      <c r="R141" s="26"/>
      <c r="S141" s="26"/>
      <c r="T141" s="26"/>
      <c r="U141" s="26"/>
      <c r="V141" s="26"/>
    </row>
    <row r="142" spans="2:22">
      <c r="C142" s="25" t="s">
        <v>334</v>
      </c>
      <c r="D142" s="752"/>
      <c r="E142" s="752"/>
      <c r="F142" s="752"/>
      <c r="G142" s="752"/>
      <c r="H142" s="757"/>
      <c r="I142" s="758">
        <v>0</v>
      </c>
      <c r="P142" s="25"/>
      <c r="Q142" s="26"/>
      <c r="R142" s="26"/>
      <c r="S142" s="26"/>
      <c r="T142" s="26"/>
      <c r="U142" s="26"/>
      <c r="V142" s="26"/>
    </row>
    <row r="143" spans="2:22">
      <c r="C143" s="25" t="s">
        <v>575</v>
      </c>
      <c r="D143" s="752"/>
      <c r="E143" s="752"/>
      <c r="F143" s="752"/>
      <c r="G143" s="752">
        <v>0</v>
      </c>
      <c r="H143" s="752"/>
      <c r="P143" s="25"/>
      <c r="Q143" s="26"/>
      <c r="R143" s="26"/>
      <c r="S143" s="26"/>
      <c r="T143" s="26"/>
      <c r="U143" s="26"/>
      <c r="V143" s="26"/>
    </row>
    <row r="144" spans="2:22">
      <c r="C144" s="25" t="s">
        <v>1152</v>
      </c>
      <c r="D144" s="752"/>
      <c r="E144" s="752"/>
      <c r="F144" s="752"/>
      <c r="G144" s="752"/>
      <c r="H144" s="752"/>
      <c r="I144" s="759"/>
      <c r="P144" s="25"/>
      <c r="Q144" s="26"/>
      <c r="R144" s="26"/>
      <c r="S144" s="26"/>
      <c r="T144" s="26"/>
      <c r="U144" s="26"/>
      <c r="V144" s="26"/>
    </row>
    <row r="145" spans="3:23">
      <c r="C145" s="25" t="s">
        <v>786</v>
      </c>
      <c r="D145" s="752"/>
      <c r="E145" s="752"/>
      <c r="F145" s="752"/>
      <c r="G145" s="752"/>
      <c r="H145" s="752"/>
      <c r="I145" s="759"/>
      <c r="P145" s="25"/>
      <c r="Q145" s="26"/>
      <c r="R145" s="26"/>
      <c r="S145" s="26"/>
      <c r="T145" s="26"/>
      <c r="U145" s="26"/>
      <c r="V145" s="26"/>
    </row>
    <row r="146" spans="3:23" ht="14.25">
      <c r="C146" s="31" t="s">
        <v>130</v>
      </c>
      <c r="D146" s="760"/>
      <c r="E146" s="760">
        <f>SUM(E106:E145)</f>
        <v>154712166.78850001</v>
      </c>
      <c r="F146" s="760">
        <f>SUM(F106:F145)</f>
        <v>688174675.80427134</v>
      </c>
      <c r="G146" s="760">
        <f>SUM(G106:G145)</f>
        <v>213680226.76580319</v>
      </c>
      <c r="H146" s="760">
        <f>SUM(H106:H145)</f>
        <v>256798498.25552773</v>
      </c>
      <c r="I146" s="760">
        <f>SUM(I106:I145)</f>
        <v>316532309.1601994</v>
      </c>
      <c r="K146" s="259"/>
      <c r="L146" s="259"/>
      <c r="M146" s="259"/>
      <c r="P146" s="31"/>
      <c r="Q146" s="32"/>
      <c r="R146" s="32"/>
      <c r="S146" s="32"/>
      <c r="T146" s="32"/>
      <c r="U146" s="32"/>
      <c r="V146" s="32"/>
    </row>
    <row r="147" spans="3:23">
      <c r="C147" s="33" t="s">
        <v>349</v>
      </c>
      <c r="D147" s="752"/>
      <c r="E147" s="752">
        <f>E146*0.35</f>
        <v>54149258.375974998</v>
      </c>
      <c r="F147" s="752">
        <f>F146*0.35</f>
        <v>240861136.53149495</v>
      </c>
      <c r="G147" s="752">
        <f>G146*0.35</f>
        <v>74788079.368031114</v>
      </c>
      <c r="H147" s="752">
        <f>H146*0.35</f>
        <v>89879474.389434695</v>
      </c>
      <c r="I147" s="752">
        <f>I146*0.35</f>
        <v>110786308.20606978</v>
      </c>
      <c r="K147" s="276"/>
      <c r="L147" s="259"/>
      <c r="M147" s="259"/>
      <c r="P147" s="33"/>
      <c r="Q147" s="26"/>
      <c r="R147" s="26"/>
      <c r="S147" s="26"/>
      <c r="T147" s="26"/>
      <c r="U147" s="26"/>
      <c r="V147" s="26"/>
    </row>
    <row r="148" spans="3:23" ht="28.5">
      <c r="C148" s="34" t="s">
        <v>132</v>
      </c>
      <c r="D148" s="761"/>
      <c r="E148" s="761">
        <f>E146-E147</f>
        <v>100562908.41252501</v>
      </c>
      <c r="F148" s="761">
        <f>F146-F147</f>
        <v>447313539.27277637</v>
      </c>
      <c r="G148" s="761">
        <f>G146-G147</f>
        <v>138892147.39777207</v>
      </c>
      <c r="H148" s="761">
        <f>H146-H147</f>
        <v>166919023.86609304</v>
      </c>
      <c r="I148" s="761">
        <f>I146-I147</f>
        <v>205746000.95412964</v>
      </c>
      <c r="P148" s="34"/>
      <c r="Q148" s="35"/>
      <c r="R148" s="35"/>
      <c r="S148" s="35"/>
      <c r="T148" s="35"/>
      <c r="U148" s="35"/>
      <c r="V148" s="35"/>
    </row>
    <row r="149" spans="3:23">
      <c r="C149" s="33" t="s">
        <v>133</v>
      </c>
      <c r="D149" s="756"/>
      <c r="E149" s="756">
        <f>SUM(E136:E145)*-1</f>
        <v>19250000</v>
      </c>
      <c r="F149" s="756">
        <f>SUM(F136:F145)*-1</f>
        <v>19250000</v>
      </c>
      <c r="G149" s="756">
        <f>SUM(G136:G145)*-1</f>
        <v>19250000</v>
      </c>
      <c r="H149" s="756">
        <f>SUM(H136:H145)*-1</f>
        <v>6825000</v>
      </c>
      <c r="I149" s="756">
        <f>SUM(I136:I145)*-1</f>
        <v>12950000</v>
      </c>
      <c r="P149" s="33"/>
      <c r="Q149" s="26"/>
      <c r="R149" s="26"/>
      <c r="S149" s="26"/>
      <c r="T149" s="26"/>
      <c r="U149" s="26"/>
      <c r="V149" s="26"/>
    </row>
    <row r="150" spans="3:23">
      <c r="C150" s="751" t="s">
        <v>202</v>
      </c>
      <c r="D150" s="254">
        <v>-49767271.944037527</v>
      </c>
      <c r="E150" s="816"/>
      <c r="F150" s="816"/>
      <c r="G150" s="816"/>
      <c r="H150" s="816"/>
      <c r="I150" s="764"/>
      <c r="P150" s="284"/>
      <c r="Q150" s="26"/>
      <c r="R150" s="26"/>
      <c r="S150" s="26"/>
      <c r="T150" s="26"/>
      <c r="U150" s="26"/>
    </row>
    <row r="151" spans="3:23">
      <c r="C151" s="25" t="s">
        <v>134</v>
      </c>
      <c r="D151" s="759"/>
      <c r="F151" s="254">
        <v>-534102.70569635904</v>
      </c>
      <c r="G151" s="254">
        <v>-1105533.8451032599</v>
      </c>
      <c r="H151" s="254">
        <v>-2288333.4415527601</v>
      </c>
      <c r="I151" s="254">
        <v>-4736598.4885244397</v>
      </c>
      <c r="J151" s="254">
        <v>-9804237.8064747602</v>
      </c>
      <c r="K151" s="254">
        <v>-20293693.7126485</v>
      </c>
      <c r="P151" s="25"/>
      <c r="R151" s="26"/>
      <c r="S151" s="26"/>
      <c r="T151" s="26"/>
      <c r="U151" s="26"/>
      <c r="V151" s="26"/>
    </row>
    <row r="152" spans="3:23">
      <c r="C152" s="25" t="s">
        <v>135</v>
      </c>
      <c r="D152" s="752"/>
      <c r="F152" s="752"/>
      <c r="G152" s="752"/>
      <c r="H152" s="752"/>
      <c r="I152" s="752"/>
      <c r="P152" s="286"/>
      <c r="R152" s="26"/>
      <c r="S152" s="26"/>
      <c r="T152" s="26"/>
      <c r="U152" s="26"/>
      <c r="V152" s="26"/>
    </row>
    <row r="153" spans="3:23">
      <c r="C153" s="25" t="s">
        <v>1229</v>
      </c>
      <c r="F153" s="752"/>
      <c r="G153" s="752"/>
      <c r="H153" s="752">
        <v>-1500000</v>
      </c>
      <c r="I153" s="752"/>
      <c r="P153" s="286"/>
      <c r="Q153" s="26"/>
      <c r="V153" s="26"/>
    </row>
    <row r="154" spans="3:23">
      <c r="C154" s="25" t="s">
        <v>1231</v>
      </c>
      <c r="D154" s="752">
        <f>70000*175*-1</f>
        <v>-12250000</v>
      </c>
      <c r="E154" s="752"/>
      <c r="F154" s="752"/>
      <c r="G154" s="757"/>
      <c r="H154" s="758"/>
      <c r="I154" s="765"/>
      <c r="P154" s="286"/>
      <c r="Q154" s="26"/>
      <c r="R154" s="26"/>
      <c r="S154" s="26"/>
      <c r="T154" s="26"/>
      <c r="U154" s="26"/>
      <c r="V154" s="26"/>
    </row>
    <row r="155" spans="3:23">
      <c r="C155" s="25" t="s">
        <v>1232</v>
      </c>
      <c r="D155" s="752">
        <f>80000*175*-1*2</f>
        <v>-28000000</v>
      </c>
      <c r="E155" s="752"/>
      <c r="F155" s="752"/>
      <c r="G155" s="757"/>
      <c r="H155" s="758"/>
      <c r="I155" s="765"/>
      <c r="P155" s="286"/>
      <c r="Q155" s="26"/>
      <c r="R155" s="26"/>
      <c r="S155" s="26"/>
      <c r="T155" s="26"/>
      <c r="U155" s="26"/>
      <c r="V155" s="26"/>
    </row>
    <row r="156" spans="3:23">
      <c r="C156" s="25" t="s">
        <v>1233</v>
      </c>
      <c r="D156" s="752">
        <f>213000*175*-1</f>
        <v>-37275000</v>
      </c>
      <c r="E156" s="752"/>
      <c r="F156" s="752"/>
      <c r="G156" s="757"/>
      <c r="H156" s="758"/>
      <c r="I156" s="765"/>
      <c r="J156" s="663" t="s">
        <v>1186</v>
      </c>
      <c r="P156" s="286"/>
      <c r="Q156" s="26"/>
      <c r="R156" s="26"/>
      <c r="S156" s="26"/>
      <c r="T156" s="26"/>
      <c r="U156" s="26"/>
      <c r="V156" s="26"/>
    </row>
    <row r="157" spans="3:23">
      <c r="C157" s="286" t="s">
        <v>412</v>
      </c>
      <c r="D157" s="752"/>
      <c r="E157" s="752"/>
      <c r="F157" s="752"/>
      <c r="G157" s="752"/>
      <c r="H157" s="759"/>
      <c r="I157" s="752">
        <f>D150*-1</f>
        <v>49767271.944037527</v>
      </c>
      <c r="J157" s="663" t="s">
        <v>29</v>
      </c>
      <c r="P157" s="286"/>
      <c r="Q157" s="26"/>
      <c r="R157" s="26"/>
      <c r="S157" s="26"/>
      <c r="T157" s="26"/>
      <c r="U157" s="26"/>
      <c r="V157" s="26"/>
    </row>
    <row r="158" spans="3:23" ht="14.25">
      <c r="C158" s="37" t="s">
        <v>139</v>
      </c>
      <c r="D158" s="761">
        <f>SUM(D147:D157)</f>
        <v>-127292271.94403753</v>
      </c>
      <c r="E158" s="761">
        <f>SUM(E148:E157)</f>
        <v>119812908.41252501</v>
      </c>
      <c r="F158" s="761">
        <f>SUM(F148:F157)</f>
        <v>466029436.56708002</v>
      </c>
      <c r="G158" s="761">
        <f>SUM(G148:G157)</f>
        <v>157036613.55266881</v>
      </c>
      <c r="H158" s="761">
        <f>SUM(H148:H157)</f>
        <v>169955690.42454028</v>
      </c>
      <c r="I158" s="761">
        <f>SUM(I148:I157)</f>
        <v>263726674.40964273</v>
      </c>
      <c r="J158" s="1055">
        <f>NPV(C180,E158:I158)+D158</f>
        <v>571982072.87792039</v>
      </c>
      <c r="P158" s="37"/>
      <c r="Q158" s="35"/>
      <c r="R158" s="35"/>
      <c r="S158" s="35"/>
      <c r="T158" s="35"/>
      <c r="U158" s="35"/>
      <c r="V158" s="35"/>
      <c r="W158" s="297"/>
    </row>
    <row r="159" spans="3:23">
      <c r="C159" s="3"/>
      <c r="E159" s="5"/>
      <c r="F159" s="5"/>
      <c r="G159" s="5"/>
      <c r="H159" s="5"/>
      <c r="I159" s="5"/>
    </row>
    <row r="160" spans="3:23">
      <c r="D160" s="1051"/>
    </row>
    <row r="161" spans="3:17">
      <c r="E161" s="297"/>
      <c r="G161" s="378" t="s">
        <v>1280</v>
      </c>
      <c r="K161" s="274"/>
    </row>
    <row r="162" spans="3:17" ht="15">
      <c r="C162" s="593"/>
      <c r="D162" s="380"/>
      <c r="E162" s="380"/>
      <c r="F162" s="380"/>
      <c r="G162" s="1300" t="s">
        <v>982</v>
      </c>
      <c r="H162" s="1301">
        <f>IRR(D158:I158)</f>
        <v>1.6290907853528203</v>
      </c>
      <c r="I162" s="380"/>
    </row>
    <row r="163" spans="3:17" ht="12.75" customHeight="1">
      <c r="N163" s="299"/>
      <c r="O163" s="299"/>
      <c r="P163" s="299"/>
      <c r="Q163" s="299"/>
    </row>
    <row r="164" spans="3:17">
      <c r="N164" s="299"/>
      <c r="O164" s="299"/>
      <c r="P164" s="299"/>
      <c r="Q164" s="299"/>
    </row>
    <row r="165" spans="3:17">
      <c r="N165" s="299"/>
      <c r="O165" s="299"/>
      <c r="P165" s="299"/>
      <c r="Q165" s="299"/>
    </row>
    <row r="166" spans="3:17">
      <c r="N166" s="299"/>
      <c r="O166" s="299"/>
      <c r="P166" s="299"/>
      <c r="Q166" s="299"/>
    </row>
    <row r="167" spans="3:17">
      <c r="K167" s="299"/>
      <c r="L167" s="299"/>
      <c r="M167" s="299"/>
      <c r="N167" s="299"/>
    </row>
    <row r="168" spans="3:17">
      <c r="K168" s="299"/>
      <c r="L168" s="299"/>
      <c r="M168" s="299"/>
      <c r="N168" s="299"/>
    </row>
    <row r="169" spans="3:17">
      <c r="K169" s="299"/>
      <c r="L169" s="299"/>
      <c r="M169" s="299"/>
      <c r="N169" s="299"/>
    </row>
    <row r="170" spans="3:17">
      <c r="G170" s="25"/>
      <c r="H170" s="25" t="s">
        <v>483</v>
      </c>
      <c r="I170" s="25" t="s">
        <v>484</v>
      </c>
      <c r="K170" s="299"/>
      <c r="L170" s="299"/>
      <c r="M170" s="299"/>
      <c r="N170" s="299"/>
    </row>
    <row r="171" spans="3:17">
      <c r="G171" s="25" t="s">
        <v>485</v>
      </c>
      <c r="H171" s="343"/>
      <c r="I171" s="134"/>
      <c r="K171" s="299"/>
      <c r="L171" s="299"/>
      <c r="M171" s="299"/>
      <c r="N171" s="299"/>
    </row>
    <row r="172" spans="3:17">
      <c r="G172" s="25" t="s">
        <v>486</v>
      </c>
      <c r="H172" s="343"/>
      <c r="I172" s="134"/>
      <c r="N172" s="299"/>
      <c r="O172" s="299"/>
      <c r="P172" s="299"/>
      <c r="Q172" s="299"/>
    </row>
    <row r="173" spans="3:17">
      <c r="G173" s="25" t="s">
        <v>487</v>
      </c>
      <c r="H173" s="343"/>
      <c r="I173" s="134"/>
      <c r="N173" s="299"/>
      <c r="O173" s="299"/>
      <c r="P173" s="299"/>
      <c r="Q173" s="299"/>
    </row>
    <row r="174" spans="3:17">
      <c r="G174" s="271" t="s">
        <v>150</v>
      </c>
      <c r="H174" s="344"/>
      <c r="I174" s="25"/>
      <c r="J174" t="e">
        <f>H171*I171/(H171+H172)</f>
        <v>#DIV/0!</v>
      </c>
      <c r="N174" s="299"/>
      <c r="O174" s="299"/>
      <c r="P174" s="299"/>
      <c r="Q174" s="299"/>
    </row>
    <row r="175" spans="3:17">
      <c r="N175" s="299"/>
      <c r="O175" s="299"/>
      <c r="P175" s="299"/>
      <c r="Q175" s="299"/>
    </row>
    <row r="176" spans="3:17" ht="15">
      <c r="G176" s="345" t="s">
        <v>488</v>
      </c>
      <c r="H176" s="346"/>
      <c r="I176" t="s">
        <v>498</v>
      </c>
      <c r="N176" s="299"/>
      <c r="O176" s="299"/>
      <c r="P176" s="299"/>
      <c r="Q176" s="299"/>
    </row>
    <row r="177" spans="2:15" ht="15">
      <c r="G177" s="345" t="s">
        <v>489</v>
      </c>
      <c r="H177" s="346">
        <v>0.75</v>
      </c>
      <c r="I177" s="347" t="s">
        <v>490</v>
      </c>
    </row>
    <row r="178" spans="2:15" ht="15">
      <c r="B178" s="382"/>
      <c r="C178" s="382" t="s">
        <v>1529</v>
      </c>
      <c r="D178" s="382" t="s">
        <v>1542</v>
      </c>
      <c r="G178" s="345" t="s">
        <v>491</v>
      </c>
      <c r="H178" s="346">
        <v>0.25</v>
      </c>
      <c r="I178" s="347" t="s">
        <v>492</v>
      </c>
    </row>
    <row r="179" spans="2:15" ht="15.75" thickBot="1">
      <c r="G179" s="345" t="s">
        <v>493</v>
      </c>
      <c r="H179" s="346"/>
      <c r="I179" t="s">
        <v>494</v>
      </c>
      <c r="M179" t="s">
        <v>448</v>
      </c>
      <c r="N179" s="304">
        <v>150000</v>
      </c>
      <c r="O179" s="352"/>
    </row>
    <row r="180" spans="2:15" ht="15">
      <c r="B180" s="40" t="s">
        <v>140</v>
      </c>
      <c r="C180" s="285">
        <f>C188*C182+C189*(1-C186)*C187+C190</f>
        <v>0.20194105000000001</v>
      </c>
      <c r="D180" s="351" t="s">
        <v>1268</v>
      </c>
      <c r="G180" s="345" t="s">
        <v>495</v>
      </c>
      <c r="H180" s="346"/>
      <c r="I180" t="s">
        <v>496</v>
      </c>
      <c r="M180" t="s">
        <v>448</v>
      </c>
      <c r="N180" s="305">
        <v>160000</v>
      </c>
      <c r="O180" s="353"/>
    </row>
    <row r="181" spans="2:15" ht="15.75" thickBot="1">
      <c r="B181" s="42" t="s">
        <v>141</v>
      </c>
      <c r="C181" s="43" t="s">
        <v>142</v>
      </c>
      <c r="M181" t="s">
        <v>449</v>
      </c>
    </row>
    <row r="182" spans="2:15" ht="15.75" thickBot="1">
      <c r="B182" s="44" t="s">
        <v>143</v>
      </c>
      <c r="C182" s="1257">
        <f>C183+C184*(C185-C183)</f>
        <v>1.194105E-2</v>
      </c>
      <c r="G182" s="348" t="s">
        <v>497</v>
      </c>
      <c r="H182" s="349">
        <f>H176*H177+H179*H178*(1-H180)</f>
        <v>0</v>
      </c>
    </row>
    <row r="183" spans="2:15" ht="15">
      <c r="B183" s="44" t="s">
        <v>144</v>
      </c>
      <c r="C183" s="821">
        <v>1.0999999999999999E-2</v>
      </c>
      <c r="D183" s="785" t="s">
        <v>1242</v>
      </c>
    </row>
    <row r="184" spans="2:15" ht="18.75" thickBot="1">
      <c r="B184" s="47" t="s">
        <v>7</v>
      </c>
      <c r="C184" s="1255">
        <v>1.4500000000000001E-2</v>
      </c>
      <c r="D184" s="786" t="s">
        <v>1243</v>
      </c>
      <c r="E184" s="351" t="s">
        <v>1244</v>
      </c>
      <c r="I184" s="350" t="s">
        <v>502</v>
      </c>
    </row>
    <row r="185" spans="2:15" ht="18">
      <c r="B185" s="47" t="s">
        <v>146</v>
      </c>
      <c r="C185" s="1036">
        <v>7.5899999999999995E-2</v>
      </c>
      <c r="D185" s="4" t="s">
        <v>890</v>
      </c>
      <c r="F185">
        <f>(11%/1.45%)+1.1%</f>
        <v>7.5972068965517252</v>
      </c>
      <c r="I185" s="350" t="s">
        <v>883</v>
      </c>
    </row>
    <row r="186" spans="2:15" ht="18">
      <c r="B186" s="47" t="s">
        <v>148</v>
      </c>
      <c r="C186" s="1256">
        <v>0.35</v>
      </c>
      <c r="D186" s="4"/>
      <c r="I186" s="350" t="s">
        <v>884</v>
      </c>
    </row>
    <row r="187" spans="2:15" ht="18">
      <c r="B187" s="47" t="s">
        <v>150</v>
      </c>
      <c r="C187" s="49">
        <v>0</v>
      </c>
      <c r="D187" s="4"/>
      <c r="I187" s="350" t="s">
        <v>885</v>
      </c>
    </row>
    <row r="188" spans="2:15">
      <c r="B188" s="47" t="s">
        <v>152</v>
      </c>
      <c r="C188" s="1036">
        <v>1</v>
      </c>
      <c r="E188" s="4"/>
      <c r="F188" s="4"/>
    </row>
    <row r="189" spans="2:15" ht="13.5" thickBot="1">
      <c r="B189" s="50" t="s">
        <v>154</v>
      </c>
      <c r="C189" s="51">
        <v>0</v>
      </c>
      <c r="D189" s="4"/>
      <c r="E189" s="4"/>
      <c r="F189" s="4"/>
    </row>
    <row r="190" spans="2:15">
      <c r="B190" s="1253" t="s">
        <v>969</v>
      </c>
      <c r="C190" s="1254">
        <v>0.19</v>
      </c>
    </row>
    <row r="191" spans="2:15" ht="15.75">
      <c r="L191" s="579"/>
    </row>
    <row r="192" spans="2:15">
      <c r="K192" s="254"/>
      <c r="L192" s="208"/>
    </row>
    <row r="193" spans="2:16" ht="14.25">
      <c r="B193" s="570" t="s">
        <v>143</v>
      </c>
      <c r="C193" s="571">
        <f>C195+C194*(C196-C195)</f>
        <v>0.41000000000000003</v>
      </c>
      <c r="D193" t="s">
        <v>744</v>
      </c>
      <c r="K193" s="254"/>
      <c r="L193" s="208"/>
      <c r="N193" s="580">
        <f>L206</f>
        <v>520000</v>
      </c>
      <c r="O193" s="208">
        <v>1</v>
      </c>
    </row>
    <row r="194" spans="2:16" ht="14.25">
      <c r="B194" s="570" t="s">
        <v>745</v>
      </c>
      <c r="C194" s="491">
        <v>1.8</v>
      </c>
      <c r="D194" t="s">
        <v>746</v>
      </c>
      <c r="K194" s="254"/>
      <c r="L194" s="1215"/>
      <c r="N194" s="580">
        <f>L203</f>
        <v>100000</v>
      </c>
      <c r="O194" s="581">
        <f>(N194*O193)/N193</f>
        <v>0.19230769230769232</v>
      </c>
    </row>
    <row r="195" spans="2:16" ht="14.25">
      <c r="B195" s="570" t="s">
        <v>144</v>
      </c>
      <c r="C195" s="572">
        <v>0.05</v>
      </c>
      <c r="D195" t="s">
        <v>747</v>
      </c>
    </row>
    <row r="196" spans="2:16" ht="14.25">
      <c r="B196" s="570" t="s">
        <v>146</v>
      </c>
      <c r="C196" s="572">
        <v>0.25</v>
      </c>
      <c r="N196" s="580">
        <f>L206</f>
        <v>520000</v>
      </c>
      <c r="O196" s="208">
        <v>1</v>
      </c>
    </row>
    <row r="197" spans="2:16" ht="14.25">
      <c r="B197" s="570"/>
      <c r="C197" s="574"/>
      <c r="D197" s="574"/>
      <c r="E197" s="574"/>
      <c r="F197" s="574"/>
      <c r="G197" s="574"/>
      <c r="H197" s="574"/>
      <c r="N197" s="582">
        <f>L204</f>
        <v>120000</v>
      </c>
      <c r="O197" s="583">
        <f>(N197*O196)/N196</f>
        <v>0.23076923076923078</v>
      </c>
    </row>
    <row r="198" spans="2:16">
      <c r="C198" s="303"/>
      <c r="D198" s="303"/>
      <c r="E198" s="303"/>
      <c r="F198" s="303"/>
      <c r="G198" s="303"/>
      <c r="H198" s="303"/>
    </row>
    <row r="199" spans="2:16">
      <c r="C199" s="303"/>
      <c r="D199" s="303"/>
      <c r="E199" s="303"/>
      <c r="F199" s="303"/>
      <c r="G199" s="303"/>
      <c r="H199" s="303"/>
      <c r="L199" t="s">
        <v>751</v>
      </c>
      <c r="N199" s="580">
        <f>L206</f>
        <v>520000</v>
      </c>
      <c r="O199" s="208">
        <v>1</v>
      </c>
    </row>
    <row r="200" spans="2:16" ht="14.25">
      <c r="C200" s="575"/>
      <c r="D200" s="576"/>
      <c r="E200" s="574"/>
      <c r="F200" s="584"/>
      <c r="G200" s="576"/>
      <c r="H200" s="576"/>
      <c r="N200" s="582">
        <f>L205</f>
        <v>300000</v>
      </c>
      <c r="O200" s="585">
        <f>(N200*O199)/N199</f>
        <v>0.57692307692307687</v>
      </c>
    </row>
    <row r="202" spans="2:16" ht="14.25">
      <c r="L202" s="570" t="s">
        <v>752</v>
      </c>
      <c r="N202" s="491" t="s">
        <v>1103</v>
      </c>
    </row>
    <row r="203" spans="2:16" ht="14.25">
      <c r="B203" s="570"/>
      <c r="C203" s="578"/>
      <c r="L203" s="582">
        <v>100000</v>
      </c>
      <c r="N203" s="468">
        <v>0.5</v>
      </c>
      <c r="O203" s="586">
        <v>0.25</v>
      </c>
      <c r="P203" s="578">
        <f>N203*O203</f>
        <v>0.125</v>
      </c>
    </row>
    <row r="204" spans="2:16" ht="15" thickBot="1">
      <c r="L204" s="582">
        <v>120000</v>
      </c>
      <c r="N204" s="468">
        <v>0.35</v>
      </c>
      <c r="O204" s="1217">
        <v>0.11</v>
      </c>
      <c r="P204" s="578">
        <f>N204*O204</f>
        <v>3.85E-2</v>
      </c>
    </row>
    <row r="205" spans="2:16" ht="15" thickBot="1">
      <c r="C205" s="1782" t="s">
        <v>888</v>
      </c>
      <c r="D205" s="1783"/>
      <c r="E205" s="1783"/>
      <c r="F205" s="1783"/>
      <c r="G205" s="1783"/>
      <c r="H205" s="1783"/>
      <c r="I205" s="1784"/>
      <c r="L205" s="588">
        <v>300000</v>
      </c>
      <c r="N205" s="468">
        <v>0.48</v>
      </c>
      <c r="O205" s="1216">
        <v>0.115</v>
      </c>
      <c r="P205" s="578">
        <f>N205*O205</f>
        <v>5.5199999999999999E-2</v>
      </c>
    </row>
    <row r="206" spans="2:16" ht="15">
      <c r="C206" s="772" t="s">
        <v>143</v>
      </c>
      <c r="D206" s="773">
        <f>D208+D207*(D209-D208)</f>
        <v>0.41000000000000003</v>
      </c>
      <c r="E206" s="774" t="s">
        <v>744</v>
      </c>
      <c r="F206" s="774"/>
      <c r="G206" s="774"/>
      <c r="H206" s="774"/>
      <c r="I206" s="775"/>
      <c r="L206" s="582">
        <f>SUM(L203:L205)</f>
        <v>520000</v>
      </c>
      <c r="N206" s="491"/>
      <c r="P206" s="591">
        <f>SUM(P203:P205)</f>
        <v>0.21870000000000001</v>
      </c>
    </row>
    <row r="207" spans="2:16" ht="14.25">
      <c r="C207" s="776" t="s">
        <v>745</v>
      </c>
      <c r="D207" s="777">
        <v>1.8</v>
      </c>
      <c r="E207" s="257" t="s">
        <v>746</v>
      </c>
      <c r="F207" s="257"/>
      <c r="G207" s="257"/>
      <c r="H207" s="257"/>
      <c r="I207" s="778"/>
      <c r="N207" s="491"/>
    </row>
    <row r="208" spans="2:16" ht="14.25">
      <c r="C208" s="776" t="s">
        <v>144</v>
      </c>
      <c r="D208" s="779">
        <v>0.05</v>
      </c>
      <c r="E208" s="257" t="s">
        <v>747</v>
      </c>
      <c r="F208" s="257"/>
      <c r="G208" s="257"/>
      <c r="H208" s="257"/>
      <c r="I208" s="778"/>
    </row>
    <row r="209" spans="2:14" ht="14.25">
      <c r="C209" s="776" t="s">
        <v>146</v>
      </c>
      <c r="D209" s="779">
        <v>0.25</v>
      </c>
      <c r="E209" s="257"/>
      <c r="F209" s="257"/>
      <c r="G209" s="257"/>
      <c r="H209" s="257"/>
      <c r="I209" s="778"/>
      <c r="L209" s="548"/>
      <c r="M209" s="548"/>
      <c r="N209" s="548"/>
    </row>
    <row r="210" spans="2:14" ht="13.5" thickBot="1">
      <c r="C210" s="780"/>
      <c r="D210" s="781"/>
      <c r="E210" s="781"/>
      <c r="F210" s="781"/>
      <c r="G210" s="781"/>
      <c r="H210" s="781"/>
      <c r="I210" s="782"/>
      <c r="M210" s="787"/>
      <c r="N210" s="788"/>
    </row>
    <row r="211" spans="2:14">
      <c r="M211" s="787"/>
    </row>
    <row r="212" spans="2:14" ht="14.25">
      <c r="M212" s="789"/>
    </row>
    <row r="214" spans="2:14" ht="13.5" thickBot="1">
      <c r="B214" t="s">
        <v>1543</v>
      </c>
    </row>
    <row r="215" spans="2:14">
      <c r="C215" s="1872" t="s">
        <v>1530</v>
      </c>
      <c r="D215" s="1617"/>
      <c r="E215" s="1618"/>
    </row>
    <row r="216" spans="2:14" ht="13.5" thickBot="1">
      <c r="C216" s="1869" t="s">
        <v>1531</v>
      </c>
      <c r="D216" s="1753"/>
      <c r="E216" s="1604">
        <f>H222</f>
        <v>1.0698899917795224</v>
      </c>
    </row>
    <row r="217" spans="2:14">
      <c r="C217" s="1869" t="s">
        <v>1532</v>
      </c>
      <c r="D217" s="1753"/>
      <c r="E217" s="1604">
        <v>0.1</v>
      </c>
      <c r="G217" s="1873" t="s">
        <v>1533</v>
      </c>
      <c r="H217" s="1632"/>
    </row>
    <row r="218" spans="2:14">
      <c r="C218" s="1869" t="s">
        <v>1534</v>
      </c>
      <c r="D218" s="1753"/>
      <c r="E218" s="1604">
        <v>1.0999999999999999E-2</v>
      </c>
      <c r="G218" s="1605" t="s">
        <v>0</v>
      </c>
      <c r="H218" s="1606">
        <v>0.75</v>
      </c>
    </row>
    <row r="219" spans="2:14">
      <c r="C219" s="1869" t="s">
        <v>1535</v>
      </c>
      <c r="D219" s="1753"/>
      <c r="E219" s="1604">
        <v>1.4500000000000001E-2</v>
      </c>
      <c r="G219" s="1605" t="s">
        <v>709</v>
      </c>
      <c r="H219" s="1607">
        <v>360</v>
      </c>
    </row>
    <row r="220" spans="2:14">
      <c r="C220" s="1869" t="s">
        <v>1536</v>
      </c>
      <c r="D220" s="1753"/>
      <c r="E220" s="1604">
        <v>0.11</v>
      </c>
      <c r="G220" s="1605" t="s">
        <v>1537</v>
      </c>
      <c r="H220" s="1607">
        <v>30</v>
      </c>
    </row>
    <row r="221" spans="2:14">
      <c r="C221" s="1869" t="s">
        <v>1538</v>
      </c>
      <c r="D221" s="1753"/>
      <c r="E221" s="1604">
        <v>0.5</v>
      </c>
      <c r="G221" s="1605" t="s">
        <v>1539</v>
      </c>
      <c r="H221" s="1607">
        <v>360</v>
      </c>
    </row>
    <row r="222" spans="2:14" ht="13.5" thickBot="1">
      <c r="C222" s="1869" t="s">
        <v>1540</v>
      </c>
      <c r="D222" s="1753"/>
      <c r="E222" s="1604">
        <v>0.5</v>
      </c>
      <c r="G222" s="1608" t="s">
        <v>3</v>
      </c>
      <c r="H222" s="1609">
        <f>(1+H218*H220/H221)^(H219/H220)-1</f>
        <v>1.0698899917795224</v>
      </c>
    </row>
    <row r="223" spans="2:14" ht="13.5" thickBot="1">
      <c r="C223" s="1870" t="s">
        <v>1541</v>
      </c>
      <c r="D223" s="1871"/>
      <c r="E223" s="1609">
        <f>(E218+E219*E220)*E221 + E216*(1-E217)*E222</f>
        <v>0.48774799630078508</v>
      </c>
    </row>
  </sheetData>
  <mergeCells count="31">
    <mergeCell ref="I95:L95"/>
    <mergeCell ref="D98:G98"/>
    <mergeCell ref="J136:M136"/>
    <mergeCell ref="C205:I205"/>
    <mergeCell ref="B72:D72"/>
    <mergeCell ref="D61:D67"/>
    <mergeCell ref="V66:Y66"/>
    <mergeCell ref="M75:Q75"/>
    <mergeCell ref="M83:Q83"/>
    <mergeCell ref="B84:K84"/>
    <mergeCell ref="N85:O91"/>
    <mergeCell ref="K86:K90"/>
    <mergeCell ref="L86:L89"/>
    <mergeCell ref="M86:M90"/>
    <mergeCell ref="E91:F91"/>
    <mergeCell ref="M45:O45"/>
    <mergeCell ref="A2:B12"/>
    <mergeCell ref="M30:N30"/>
    <mergeCell ref="O35:S35"/>
    <mergeCell ref="M41:O41"/>
    <mergeCell ref="M42:O42"/>
    <mergeCell ref="C215:E215"/>
    <mergeCell ref="C216:D216"/>
    <mergeCell ref="C217:D217"/>
    <mergeCell ref="G217:H217"/>
    <mergeCell ref="C218:D218"/>
    <mergeCell ref="C219:D219"/>
    <mergeCell ref="C220:D220"/>
    <mergeCell ref="C221:D221"/>
    <mergeCell ref="C222:D222"/>
    <mergeCell ref="C223:D223"/>
  </mergeCells>
  <conditionalFormatting sqref="G63:K63">
    <cfRule type="containsText" dxfId="5"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1F91C-C8D5-4729-9226-27D3ABF90B7E}">
  <dimension ref="A2:Y212"/>
  <sheetViews>
    <sheetView topLeftCell="C46" workbookViewId="0">
      <selection activeCell="G102" sqref="G102"/>
    </sheetView>
  </sheetViews>
  <sheetFormatPr defaultRowHeight="12.75"/>
  <cols>
    <col min="1" max="1" width="11.5703125" customWidth="1"/>
    <col min="2" max="2" width="14.5703125" customWidth="1"/>
    <col min="3" max="3" width="35.42578125" bestFit="1" customWidth="1"/>
    <col min="4" max="4" width="37.28515625" bestFit="1" customWidth="1"/>
    <col min="5" max="5" width="19.5703125" customWidth="1"/>
    <col min="6" max="6" width="23.140625" customWidth="1"/>
    <col min="7" max="7" width="39" customWidth="1"/>
    <col min="8" max="8" width="20.710937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c r="J10" s="351"/>
    </row>
    <row r="11" spans="1:15">
      <c r="A11" s="1745"/>
      <c r="B11" s="1745"/>
    </row>
    <row r="12" spans="1:15">
      <c r="A12" s="1745"/>
      <c r="B12" s="1745"/>
    </row>
    <row r="13" spans="1:15">
      <c r="M13" s="596"/>
      <c r="N13" s="597" t="s">
        <v>506</v>
      </c>
      <c r="O13" s="351"/>
    </row>
    <row r="14" spans="1:15">
      <c r="M14" s="596"/>
      <c r="N14" s="597" t="s">
        <v>507</v>
      </c>
      <c r="O14" s="351"/>
    </row>
    <row r="15" spans="1:15">
      <c r="J15" s="351" t="s">
        <v>1201</v>
      </c>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3:21">
      <c r="M34" s="351"/>
    </row>
    <row r="35" spans="3:21">
      <c r="O35" s="1755"/>
      <c r="P35" s="1714"/>
      <c r="Q35" s="1714"/>
      <c r="R35" s="1714"/>
      <c r="S35" s="1714"/>
    </row>
    <row r="36" spans="3:21">
      <c r="O36" s="700"/>
      <c r="P36" s="700"/>
      <c r="Q36" s="700"/>
      <c r="R36" s="700"/>
      <c r="S36" s="700"/>
    </row>
    <row r="37" spans="3:21">
      <c r="C37" s="351"/>
      <c r="O37" s="702"/>
      <c r="P37" s="702"/>
      <c r="Q37" s="702"/>
      <c r="R37" s="702"/>
      <c r="S37" s="702"/>
    </row>
    <row r="38" spans="3:21">
      <c r="C38" s="351"/>
    </row>
    <row r="39" spans="3:21">
      <c r="C39" s="351"/>
    </row>
    <row r="40" spans="3:21">
      <c r="C40" s="208"/>
    </row>
    <row r="41" spans="3:21">
      <c r="C41" s="208"/>
      <c r="M41" s="1755"/>
      <c r="N41" s="1755"/>
      <c r="O41" s="1755"/>
      <c r="P41" s="701"/>
      <c r="Q41" s="701"/>
      <c r="R41" s="701"/>
      <c r="S41" s="701"/>
      <c r="T41" s="300"/>
      <c r="U41" s="301"/>
    </row>
    <row r="42" spans="3:21">
      <c r="M42" s="1755"/>
      <c r="N42" s="1714"/>
      <c r="O42" s="1714"/>
    </row>
    <row r="43" spans="3:21">
      <c r="M43" s="700"/>
      <c r="N43" s="700"/>
      <c r="O43" s="700"/>
    </row>
    <row r="44" spans="3:21">
      <c r="M44" s="703"/>
      <c r="N44" s="702"/>
      <c r="O44" s="702"/>
    </row>
    <row r="45" spans="3:21">
      <c r="M45" s="1755"/>
      <c r="N45" s="1714"/>
      <c r="O45" s="1714"/>
    </row>
    <row r="46" spans="3:21">
      <c r="M46" s="700"/>
      <c r="N46" s="701"/>
      <c r="O46" s="701"/>
    </row>
    <row r="47" spans="3:21">
      <c r="M47" s="700"/>
      <c r="N47" s="701"/>
      <c r="O47" s="701"/>
    </row>
    <row r="48" spans="3:21">
      <c r="M48" s="700"/>
      <c r="N48" s="701"/>
      <c r="O48" s="701"/>
    </row>
    <row r="49" spans="4:23">
      <c r="F49" s="351" t="s">
        <v>1204</v>
      </c>
      <c r="G49" s="254">
        <f>12705/1.21</f>
        <v>10500</v>
      </c>
      <c r="M49" s="700"/>
      <c r="N49" s="701"/>
      <c r="O49" s="701"/>
    </row>
    <row r="50" spans="4:23">
      <c r="F50" s="381" t="s">
        <v>1205</v>
      </c>
      <c r="G50" s="1252">
        <v>15000</v>
      </c>
      <c r="H50" s="381" t="s">
        <v>1224</v>
      </c>
      <c r="M50" s="700"/>
      <c r="N50" s="701"/>
      <c r="O50" s="701"/>
    </row>
    <row r="51" spans="4:23">
      <c r="F51" s="1222" t="s">
        <v>1206</v>
      </c>
      <c r="G51" s="259"/>
      <c r="M51" s="700"/>
      <c r="N51" s="701"/>
      <c r="O51" s="701"/>
    </row>
    <row r="52" spans="4:23">
      <c r="F52" s="1222" t="s">
        <v>1207</v>
      </c>
      <c r="G52" s="259"/>
      <c r="M52" s="700"/>
      <c r="N52" s="701"/>
      <c r="O52" s="701"/>
    </row>
    <row r="53" spans="4:23">
      <c r="M53" s="700"/>
      <c r="N53" s="701"/>
      <c r="O53" s="701"/>
    </row>
    <row r="54" spans="4:23">
      <c r="F54" s="351" t="s">
        <v>1212</v>
      </c>
      <c r="G54" s="255">
        <f>K86</f>
        <v>3615</v>
      </c>
      <c r="M54" s="700"/>
      <c r="N54" s="701"/>
      <c r="O54" s="701"/>
    </row>
    <row r="55" spans="4:23">
      <c r="F55" s="351" t="s">
        <v>1225</v>
      </c>
      <c r="G55" s="254">
        <f>190500*175</f>
        <v>33337500</v>
      </c>
      <c r="H55" s="255">
        <f>G55*1.315</f>
        <v>43838812.5</v>
      </c>
      <c r="I55" s="1240">
        <f>H55-G55</f>
        <v>10501312.5</v>
      </c>
      <c r="M55" s="700"/>
      <c r="N55" s="701"/>
      <c r="O55" s="701"/>
    </row>
    <row r="56" spans="4:23" ht="14.25">
      <c r="M56" s="697" t="s">
        <v>831</v>
      </c>
      <c r="N56" s="261"/>
    </row>
    <row r="57" spans="4:23" ht="14.25">
      <c r="I57" s="351"/>
      <c r="M57" s="731" t="s">
        <v>832</v>
      </c>
      <c r="N57" s="583"/>
      <c r="U57" s="4"/>
      <c r="V57" s="547"/>
      <c r="W57" s="548"/>
    </row>
    <row r="58" spans="4:23" ht="14.25">
      <c r="I58" s="667"/>
      <c r="M58" s="732" t="s">
        <v>833</v>
      </c>
      <c r="N58" s="733"/>
      <c r="U58" s="4"/>
      <c r="V58" s="4"/>
    </row>
    <row r="59" spans="4:23" ht="14.25">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6714</v>
      </c>
      <c r="K67" s="693">
        <f>J67*(1+K66)</f>
        <v>5222</v>
      </c>
      <c r="L67" s="692">
        <f>K67*(1+L66)</f>
        <v>6962.6666666666661</v>
      </c>
      <c r="M67" s="692">
        <f>L67*(1+M66)</f>
        <v>9283.5555555555547</v>
      </c>
      <c r="N67" s="692">
        <f>M67*(1+N66)</f>
        <v>12378.074074074073</v>
      </c>
      <c r="U67" s="551"/>
      <c r="V67" s="552"/>
      <c r="W67" s="552"/>
      <c r="X67" s="552"/>
      <c r="Y67" s="553"/>
    </row>
    <row r="68" spans="1:25" ht="15">
      <c r="U68" s="554"/>
      <c r="V68" s="555"/>
      <c r="W68" s="556"/>
      <c r="X68" s="555"/>
      <c r="Y68" s="557"/>
    </row>
    <row r="69" spans="1:25" ht="15">
      <c r="G69" s="697" t="s">
        <v>830</v>
      </c>
      <c r="H69" s="698">
        <f>M86*1.8</f>
        <v>6714</v>
      </c>
      <c r="I69" s="695"/>
      <c r="J69" s="694"/>
      <c r="K69" s="695"/>
      <c r="M69" s="259" t="s">
        <v>0</v>
      </c>
      <c r="N69" s="260">
        <v>0.12</v>
      </c>
      <c r="O69" s="261" t="s">
        <v>3</v>
      </c>
      <c r="P69" s="261" t="s">
        <v>3</v>
      </c>
      <c r="U69" s="554"/>
      <c r="V69" s="558"/>
      <c r="W69" s="556"/>
      <c r="X69" s="555"/>
      <c r="Y69" s="557"/>
    </row>
    <row r="70" spans="1:25" ht="15">
      <c r="G70" s="548"/>
      <c r="H70" s="694"/>
      <c r="I70" s="695"/>
      <c r="J70" s="694"/>
      <c r="K70" s="695"/>
      <c r="M70" s="21"/>
      <c r="N70" s="23" t="s">
        <v>3</v>
      </c>
      <c r="O70" s="261">
        <f>(1+N69/6)^6</f>
        <v>1.1261624192640001</v>
      </c>
      <c r="P70" s="266">
        <f>O70-1</f>
        <v>0.12616241926400007</v>
      </c>
      <c r="U70" s="559"/>
      <c r="V70" s="560"/>
      <c r="W70" s="556"/>
      <c r="X70" s="561"/>
      <c r="Y70" s="557"/>
    </row>
    <row r="71" spans="1:25" ht="14.25">
      <c r="A71" s="767" t="s">
        <v>865</v>
      </c>
      <c r="B71" s="767"/>
      <c r="C71" s="767"/>
      <c r="D71" s="257"/>
      <c r="G71" s="548"/>
      <c r="H71" s="694"/>
      <c r="I71" s="695"/>
      <c r="J71" s="694"/>
      <c r="K71" s="695"/>
      <c r="M71" s="21"/>
      <c r="N71" s="23"/>
    </row>
    <row r="72" spans="1:25" ht="127.5" customHeight="1">
      <c r="A72" s="257"/>
      <c r="B72" s="1874" t="s">
        <v>1230</v>
      </c>
      <c r="C72" s="1874"/>
      <c r="D72" s="1874"/>
      <c r="M72" s="21"/>
      <c r="N72" s="39"/>
    </row>
    <row r="73" spans="1:25" ht="14.25">
      <c r="A73" s="257"/>
      <c r="B73" s="767" t="s">
        <v>1248</v>
      </c>
      <c r="C73" s="257"/>
      <c r="D73" s="257"/>
      <c r="G73" s="798" t="s">
        <v>1269</v>
      </c>
      <c r="H73" s="799"/>
      <c r="I73" s="799"/>
      <c r="J73" s="800"/>
      <c r="K73" s="800"/>
      <c r="M73" s="21"/>
      <c r="N73" s="23"/>
    </row>
    <row r="74" spans="1:25" ht="14.25">
      <c r="A74" s="257"/>
      <c r="B74" s="767" t="s">
        <v>1266</v>
      </c>
      <c r="C74" s="257"/>
      <c r="D74" s="257"/>
      <c r="G74" s="799" t="s">
        <v>1270</v>
      </c>
      <c r="H74" s="799"/>
      <c r="I74" s="799"/>
      <c r="J74" s="798"/>
      <c r="K74" s="799"/>
    </row>
    <row r="75" spans="1:25" ht="25.5">
      <c r="A75" s="257"/>
      <c r="B75" s="767" t="s">
        <v>1271</v>
      </c>
      <c r="C75" s="257"/>
      <c r="D75" s="257"/>
      <c r="G75" s="801" t="s">
        <v>1272</v>
      </c>
      <c r="H75" s="799"/>
      <c r="I75" s="799"/>
      <c r="J75" s="798"/>
      <c r="K75" s="799"/>
      <c r="M75" s="1615" t="s">
        <v>103</v>
      </c>
      <c r="N75" s="1613"/>
      <c r="O75" s="1613"/>
      <c r="P75" s="1613"/>
      <c r="Q75" s="1614"/>
      <c r="S75" s="769"/>
      <c r="T75" s="254"/>
      <c r="U75" s="254"/>
      <c r="V75" s="254"/>
      <c r="W75" s="254"/>
      <c r="X75" s="254"/>
    </row>
    <row r="76" spans="1:25" ht="51">
      <c r="E76" s="351"/>
      <c r="G76" s="1299" t="s">
        <v>1276</v>
      </c>
      <c r="H76" s="802"/>
      <c r="I76" s="799"/>
      <c r="J76" s="798"/>
      <c r="K76" s="799"/>
      <c r="M76" s="24" t="s">
        <v>105</v>
      </c>
      <c r="N76" s="24" t="s">
        <v>106</v>
      </c>
      <c r="O76" s="24" t="s">
        <v>102</v>
      </c>
      <c r="P76" s="24" t="s">
        <v>134</v>
      </c>
      <c r="Q76" s="24" t="s">
        <v>107</v>
      </c>
      <c r="S76" s="254"/>
      <c r="T76" s="254"/>
      <c r="U76" s="254"/>
      <c r="V76" s="254"/>
      <c r="W76" s="254"/>
      <c r="X76" s="254"/>
    </row>
    <row r="77" spans="1:25" ht="14.25">
      <c r="E77" s="254"/>
      <c r="G77" s="802" t="s">
        <v>1273</v>
      </c>
      <c r="H77" s="802"/>
      <c r="I77" s="799"/>
      <c r="J77" s="799"/>
      <c r="K77" s="799"/>
      <c r="M77" s="25"/>
      <c r="N77" s="26"/>
      <c r="O77" s="26"/>
      <c r="P77" s="26"/>
      <c r="Q77" s="26">
        <f>D152</f>
        <v>0</v>
      </c>
      <c r="S77" s="254"/>
      <c r="T77" s="254"/>
      <c r="U77" s="254"/>
      <c r="V77" s="254"/>
      <c r="W77" s="254"/>
      <c r="X77" s="254"/>
    </row>
    <row r="78" spans="1:25" ht="14.25">
      <c r="D78" s="351"/>
      <c r="E78" s="254"/>
      <c r="G78" s="802"/>
      <c r="H78" s="802"/>
      <c r="I78" s="799"/>
      <c r="J78" s="799"/>
      <c r="K78" s="799"/>
      <c r="M78" s="25">
        <v>1</v>
      </c>
      <c r="N78" s="26">
        <f>P70*Q77/(1-(1+P70)^-5)</f>
        <v>0</v>
      </c>
      <c r="O78" s="26">
        <f>Q77*$P$70</f>
        <v>0</v>
      </c>
      <c r="P78" s="26">
        <f>N78-O78</f>
        <v>0</v>
      </c>
      <c r="Q78" s="26">
        <f>Q77-P78</f>
        <v>0</v>
      </c>
      <c r="S78" s="254"/>
      <c r="T78" s="254"/>
      <c r="U78" s="254"/>
      <c r="V78" s="254"/>
      <c r="W78" s="254"/>
      <c r="X78" s="254"/>
    </row>
    <row r="79" spans="1:25" ht="14.25">
      <c r="D79" s="351"/>
      <c r="E79" s="254"/>
      <c r="G79" s="802"/>
      <c r="H79" s="799"/>
      <c r="I79" s="799"/>
      <c r="J79" s="799"/>
      <c r="K79" s="799"/>
      <c r="M79" s="25">
        <v>2</v>
      </c>
      <c r="N79" s="26">
        <f>P70*Q77/(1-(1+P70)^-5)</f>
        <v>0</v>
      </c>
      <c r="O79" s="26">
        <f>Q78*$P$70</f>
        <v>0</v>
      </c>
      <c r="P79" s="26">
        <f>N79-O79</f>
        <v>0</v>
      </c>
      <c r="Q79" s="26">
        <f>Q78-P79</f>
        <v>0</v>
      </c>
      <c r="S79" s="254"/>
      <c r="T79" s="254"/>
      <c r="U79" s="254"/>
      <c r="V79" s="254"/>
      <c r="W79" s="254"/>
      <c r="X79" s="254"/>
    </row>
    <row r="80" spans="1:25">
      <c r="G80" s="803"/>
      <c r="H80" s="799"/>
      <c r="I80" s="799"/>
      <c r="J80" s="799"/>
      <c r="K80" s="799"/>
      <c r="M80" s="25">
        <v>3</v>
      </c>
      <c r="N80" s="26">
        <f>P70*Q77/(1-(1+P70)^-5)</f>
        <v>0</v>
      </c>
      <c r="O80" s="26">
        <f>Q79*$P$70</f>
        <v>0</v>
      </c>
      <c r="P80" s="26">
        <f>N80-O80</f>
        <v>0</v>
      </c>
      <c r="Q80" s="26">
        <f>Q79-P80</f>
        <v>0</v>
      </c>
    </row>
    <row r="81" spans="2:17">
      <c r="G81" s="804"/>
      <c r="H81" s="799"/>
      <c r="I81" s="799"/>
      <c r="J81" s="799"/>
      <c r="K81" s="799"/>
      <c r="M81" s="25">
        <v>4</v>
      </c>
      <c r="N81" s="26">
        <f>P70*Q77/(1-(1+P70)^-5)</f>
        <v>0</v>
      </c>
      <c r="O81" s="26">
        <f>Q80*$P$70</f>
        <v>0</v>
      </c>
      <c r="P81" s="26">
        <f>N81-O81</f>
        <v>0</v>
      </c>
      <c r="Q81" s="26">
        <f>Q80-P81</f>
        <v>0</v>
      </c>
    </row>
    <row r="82" spans="2:17">
      <c r="M82" s="766">
        <v>5</v>
      </c>
      <c r="N82" s="26">
        <f>P70*Q77/(1-(1+P70)^-5)</f>
        <v>0</v>
      </c>
      <c r="O82" s="26">
        <f>Q81*$P$70</f>
        <v>0</v>
      </c>
      <c r="P82" s="26">
        <f>N82-O82</f>
        <v>0</v>
      </c>
      <c r="Q82" s="26">
        <f>Q81-P82</f>
        <v>0</v>
      </c>
    </row>
    <row r="83" spans="2:17" ht="13.5" thickBot="1">
      <c r="M83" s="1785"/>
      <c r="N83" s="1714"/>
      <c r="O83" s="1714"/>
      <c r="P83" s="1714"/>
      <c r="Q83" s="1714"/>
    </row>
    <row r="84" spans="2:17" ht="15" thickBot="1">
      <c r="B84" s="1756" t="s">
        <v>1131</v>
      </c>
      <c r="C84" s="1757"/>
      <c r="D84" s="1757"/>
      <c r="E84" s="1757"/>
      <c r="F84" s="1757"/>
      <c r="G84" s="1757"/>
      <c r="H84" s="1757"/>
      <c r="I84" s="1757"/>
      <c r="J84" s="1757"/>
      <c r="K84" s="1758"/>
      <c r="L84" s="1056"/>
      <c r="M84" s="1056"/>
      <c r="N84" s="2"/>
      <c r="O84" s="2"/>
      <c r="P84" s="2"/>
      <c r="Q84" s="2"/>
    </row>
    <row r="85" spans="2:17" ht="30.75" thickBot="1">
      <c r="B85" s="1116" t="s">
        <v>577</v>
      </c>
      <c r="C85" s="402" t="s">
        <v>578</v>
      </c>
      <c r="D85" s="403" t="s">
        <v>579</v>
      </c>
      <c r="E85" s="403" t="s">
        <v>102</v>
      </c>
      <c r="F85" s="403" t="s">
        <v>580</v>
      </c>
      <c r="G85" s="403" t="s">
        <v>1128</v>
      </c>
      <c r="H85" s="403" t="s">
        <v>582</v>
      </c>
      <c r="I85" s="404" t="s">
        <v>583</v>
      </c>
      <c r="J85" s="405" t="s">
        <v>584</v>
      </c>
      <c r="K85" s="401" t="s">
        <v>585</v>
      </c>
      <c r="L85" s="1056"/>
      <c r="M85" s="401" t="s">
        <v>586</v>
      </c>
      <c r="N85" s="1759" t="s">
        <v>881</v>
      </c>
      <c r="O85" s="1759"/>
      <c r="P85" s="2"/>
      <c r="Q85" s="2"/>
    </row>
    <row r="86" spans="2:17" ht="14.25">
      <c r="B86" s="1115" t="s">
        <v>1208</v>
      </c>
      <c r="C86" s="1105">
        <v>400</v>
      </c>
      <c r="D86" s="1106" t="s">
        <v>1124</v>
      </c>
      <c r="E86" s="1107"/>
      <c r="F86" s="1107">
        <v>0</v>
      </c>
      <c r="G86" s="1108">
        <f>1+F86</f>
        <v>1</v>
      </c>
      <c r="H86" s="1109">
        <f>C86/G86</f>
        <v>400</v>
      </c>
      <c r="I86" s="1106">
        <v>1</v>
      </c>
      <c r="J86" s="1110">
        <f>I86*H86*(1+E86)</f>
        <v>400</v>
      </c>
      <c r="K86" s="1836">
        <f>SUM(J86:J90)</f>
        <v>3615</v>
      </c>
      <c r="L86" s="1717" t="s">
        <v>588</v>
      </c>
      <c r="M86" s="1718">
        <f>SUM(K86,L90)</f>
        <v>3730</v>
      </c>
      <c r="N86" s="1759"/>
      <c r="O86" s="1759"/>
      <c r="P86" s="2"/>
      <c r="Q86" s="2"/>
    </row>
    <row r="87" spans="2:17" ht="14.25">
      <c r="B87" s="1104" t="s">
        <v>1209</v>
      </c>
      <c r="C87" s="1105">
        <v>1480</v>
      </c>
      <c r="D87" s="1106" t="s">
        <v>1126</v>
      </c>
      <c r="E87" s="1107">
        <v>0</v>
      </c>
      <c r="F87" s="1107"/>
      <c r="G87" s="1108">
        <f>1+F87</f>
        <v>1</v>
      </c>
      <c r="H87" s="1109">
        <f>C87/G87</f>
        <v>1480</v>
      </c>
      <c r="I87" s="1108">
        <v>1</v>
      </c>
      <c r="J87" s="1110">
        <f>I87*H87*(1+E87)</f>
        <v>1480</v>
      </c>
      <c r="K87" s="1837"/>
      <c r="L87" s="1717"/>
      <c r="M87" s="1718"/>
      <c r="N87" s="1759"/>
      <c r="O87" s="1759"/>
      <c r="P87" s="2"/>
      <c r="Q87" s="2"/>
    </row>
    <row r="88" spans="2:17" ht="14.25">
      <c r="B88" s="1104" t="s">
        <v>1210</v>
      </c>
      <c r="C88" s="1105">
        <v>1600</v>
      </c>
      <c r="D88" s="1106" t="s">
        <v>1127</v>
      </c>
      <c r="E88" s="1107"/>
      <c r="F88" s="1107">
        <v>0</v>
      </c>
      <c r="G88" s="1108">
        <f>1+F88</f>
        <v>1</v>
      </c>
      <c r="H88" s="1109">
        <f>C88*G88</f>
        <v>1600</v>
      </c>
      <c r="I88" s="1106">
        <v>1</v>
      </c>
      <c r="J88" s="1110">
        <f>I88*H88*(1+E88)</f>
        <v>1600</v>
      </c>
      <c r="K88" s="1837"/>
      <c r="L88" s="1717"/>
      <c r="M88" s="1718"/>
      <c r="N88" s="1759"/>
      <c r="O88" s="1759"/>
      <c r="P88" s="2"/>
      <c r="Q88" s="2"/>
    </row>
    <row r="89" spans="2:17" ht="14.25">
      <c r="B89" s="1104" t="s">
        <v>1211</v>
      </c>
      <c r="C89" s="1105">
        <v>135</v>
      </c>
      <c r="D89" s="1106" t="s">
        <v>591</v>
      </c>
      <c r="E89" s="1107"/>
      <c r="F89" s="1107"/>
      <c r="G89" s="1108">
        <f>1+F89</f>
        <v>1</v>
      </c>
      <c r="H89" s="1109">
        <f>C89/G89</f>
        <v>135</v>
      </c>
      <c r="I89" s="1106">
        <v>1</v>
      </c>
      <c r="J89" s="1110">
        <f>I89*H89*(1+E89)</f>
        <v>135</v>
      </c>
      <c r="K89" s="1837"/>
      <c r="L89" s="1717"/>
      <c r="M89" s="1718"/>
      <c r="N89" s="1759"/>
      <c r="O89" s="1759"/>
      <c r="P89" s="2"/>
      <c r="Q89" s="2"/>
    </row>
    <row r="90" spans="2:17" ht="15.75" thickBot="1">
      <c r="B90" s="1111"/>
      <c r="C90" s="1112">
        <v>0</v>
      </c>
      <c r="D90" s="1113" t="s">
        <v>594</v>
      </c>
      <c r="E90" s="1114"/>
      <c r="F90" s="1114"/>
      <c r="G90" s="1108">
        <f>1+F90</f>
        <v>1</v>
      </c>
      <c r="H90" s="1109">
        <f>C90/G90</f>
        <v>0</v>
      </c>
      <c r="I90" s="1113">
        <v>1</v>
      </c>
      <c r="J90" s="1110">
        <f>I90*H90*(1+E90)</f>
        <v>0</v>
      </c>
      <c r="K90" s="1838"/>
      <c r="L90" s="418">
        <v>115</v>
      </c>
      <c r="M90" s="1718"/>
      <c r="N90" s="1759"/>
      <c r="O90" s="1759"/>
      <c r="P90" s="2"/>
      <c r="Q90" s="2"/>
    </row>
    <row r="91" spans="2:17" ht="14.25">
      <c r="B91" s="1056"/>
      <c r="C91" s="419" t="s">
        <v>595</v>
      </c>
      <c r="D91" s="1056"/>
      <c r="E91" s="1719" t="s">
        <v>596</v>
      </c>
      <c r="F91" s="1720"/>
      <c r="I91" s="419" t="s">
        <v>595</v>
      </c>
      <c r="J91" s="1056"/>
      <c r="K91" s="1056"/>
      <c r="L91" s="419" t="s">
        <v>597</v>
      </c>
      <c r="M91" s="1056"/>
      <c r="N91" s="1759"/>
      <c r="O91" s="1759"/>
      <c r="P91" s="2"/>
      <c r="Q91" s="2"/>
    </row>
    <row r="92" spans="2:17" ht="14.25">
      <c r="G92" s="1117"/>
      <c r="H92" s="1118"/>
      <c r="M92" s="2"/>
      <c r="N92" s="2"/>
      <c r="O92" s="2"/>
      <c r="P92" s="2"/>
      <c r="Q92" s="2"/>
    </row>
    <row r="93" spans="2:17">
      <c r="H93" s="255"/>
      <c r="M93" s="2"/>
      <c r="N93" s="2"/>
      <c r="O93" s="2"/>
      <c r="P93" s="2"/>
      <c r="Q93" s="2"/>
    </row>
    <row r="94" spans="2:17" ht="13.5" thickBot="1">
      <c r="M94" s="2"/>
      <c r="N94" s="2"/>
      <c r="O94" s="2"/>
      <c r="P94" s="2"/>
      <c r="Q94" s="2"/>
    </row>
    <row r="95" spans="2:17" ht="34.5" customHeight="1">
      <c r="D95" s="1205"/>
      <c r="E95" s="1206"/>
      <c r="F95" s="1207"/>
      <c r="G95" s="1208"/>
      <c r="I95" s="1842" t="s">
        <v>1160</v>
      </c>
      <c r="J95" s="1842"/>
      <c r="K95" s="1842"/>
      <c r="L95" s="1842"/>
      <c r="M95" s="2"/>
      <c r="N95" s="2"/>
      <c r="O95" s="2"/>
      <c r="P95" s="2"/>
      <c r="Q95" s="2"/>
    </row>
    <row r="96" spans="2:17" ht="13.5" customHeight="1">
      <c r="D96" s="1209"/>
      <c r="E96" s="257"/>
      <c r="F96" s="257"/>
      <c r="G96" s="1210"/>
      <c r="M96" s="4"/>
      <c r="N96" s="5"/>
      <c r="O96" s="5"/>
      <c r="P96" s="5"/>
      <c r="Q96" s="5"/>
    </row>
    <row r="97" spans="3:22" ht="13.5" thickBot="1">
      <c r="D97" s="1211"/>
      <c r="E97" s="1212"/>
      <c r="F97" s="1212"/>
      <c r="G97" s="1213"/>
      <c r="M97" s="4"/>
      <c r="N97" s="5"/>
      <c r="O97" s="5"/>
      <c r="P97" s="5"/>
      <c r="Q97" s="5"/>
    </row>
    <row r="98" spans="3:22" ht="13.5" thickBot="1">
      <c r="D98" s="1839"/>
      <c r="E98" s="1840"/>
      <c r="F98" s="1840"/>
      <c r="G98" s="1841"/>
      <c r="M98" s="4"/>
      <c r="N98" s="5"/>
      <c r="O98" s="5"/>
      <c r="P98" s="5"/>
      <c r="Q98" s="5"/>
    </row>
    <row r="99" spans="3:22">
      <c r="H99" s="254"/>
      <c r="M99" s="4"/>
      <c r="N99" s="5"/>
      <c r="O99" s="5"/>
      <c r="P99" s="5"/>
      <c r="Q99" s="5"/>
    </row>
    <row r="100" spans="3:22">
      <c r="F100" s="768"/>
    </row>
    <row r="101" spans="3:22">
      <c r="C101" s="272" t="s">
        <v>1245</v>
      </c>
      <c r="D101" s="25"/>
      <c r="E101" s="595">
        <f>$N$110</f>
        <v>19371.2035</v>
      </c>
      <c r="F101" s="595">
        <v>24214.004375</v>
      </c>
      <c r="G101" s="595">
        <v>29056.805249999998</v>
      </c>
      <c r="H101" s="595">
        <v>31962.485775000001</v>
      </c>
      <c r="I101" s="595">
        <v>35836.726475000003</v>
      </c>
      <c r="P101" s="272"/>
      <c r="Q101" s="25"/>
      <c r="R101" s="25"/>
      <c r="S101" s="25"/>
      <c r="T101" s="25"/>
      <c r="U101" s="25"/>
      <c r="V101" s="25"/>
    </row>
    <row r="102" spans="3:22">
      <c r="C102" s="272" t="s">
        <v>365</v>
      </c>
      <c r="D102" s="25"/>
      <c r="E102" s="595">
        <v>60000</v>
      </c>
      <c r="F102" s="595">
        <v>60000</v>
      </c>
      <c r="G102" s="595">
        <v>60000</v>
      </c>
      <c r="H102" s="595">
        <v>60000</v>
      </c>
      <c r="I102" s="595">
        <v>60000</v>
      </c>
      <c r="P102" s="272"/>
      <c r="Q102" s="25"/>
      <c r="R102" s="25"/>
      <c r="S102" s="25"/>
      <c r="T102" s="25"/>
      <c r="U102" s="25"/>
      <c r="V102" s="25"/>
    </row>
    <row r="103" spans="3:22">
      <c r="C103" s="272" t="s">
        <v>1246</v>
      </c>
      <c r="D103" s="25"/>
      <c r="E103" s="595">
        <f>E102-E101</f>
        <v>40628.796499999997</v>
      </c>
      <c r="F103" s="1258">
        <f>F102-F101+E103-50000</f>
        <v>26414.792124999993</v>
      </c>
      <c r="G103" s="595">
        <f>G102-G101+F103</f>
        <v>57357.986874999995</v>
      </c>
      <c r="H103" s="595">
        <f>H102-H101+G103</f>
        <v>85395.501099999994</v>
      </c>
      <c r="I103" s="595">
        <f>I102-I101+H103</f>
        <v>109558.77462499999</v>
      </c>
      <c r="P103" s="272"/>
      <c r="Q103" s="25"/>
      <c r="R103" s="25"/>
      <c r="S103" s="25"/>
      <c r="T103" s="25"/>
      <c r="U103" s="25"/>
      <c r="V103" s="25"/>
    </row>
    <row r="104" spans="3:22">
      <c r="C104" s="27" t="s">
        <v>361</v>
      </c>
      <c r="D104" s="27" t="s">
        <v>112</v>
      </c>
      <c r="E104" s="27" t="s">
        <v>113</v>
      </c>
      <c r="F104" s="27" t="s">
        <v>114</v>
      </c>
      <c r="G104" s="27" t="s">
        <v>115</v>
      </c>
      <c r="H104" s="27" t="s">
        <v>116</v>
      </c>
      <c r="I104" s="27" t="s">
        <v>117</v>
      </c>
      <c r="P104" s="27"/>
      <c r="Q104" s="27"/>
      <c r="R104" s="27"/>
      <c r="S104" s="27"/>
      <c r="T104" s="27"/>
      <c r="U104" s="27"/>
      <c r="V104" s="27"/>
    </row>
    <row r="105" spans="3:22">
      <c r="C105" s="269" t="s">
        <v>118</v>
      </c>
      <c r="D105" s="270"/>
      <c r="E105" s="270"/>
      <c r="F105" s="270"/>
      <c r="G105" s="270"/>
      <c r="H105" s="270"/>
      <c r="I105" s="270"/>
      <c r="M105" s="351" t="s">
        <v>1222</v>
      </c>
      <c r="P105" s="269"/>
      <c r="Q105" s="270"/>
      <c r="R105" s="270"/>
      <c r="S105" s="270"/>
      <c r="T105" s="270"/>
      <c r="U105" s="270"/>
      <c r="V105" s="270"/>
    </row>
    <row r="106" spans="3:22">
      <c r="C106" s="25" t="s">
        <v>356</v>
      </c>
      <c r="D106" s="752"/>
      <c r="E106" s="752">
        <f>E101*$G$49</f>
        <v>203397636.75</v>
      </c>
      <c r="F106" s="752">
        <f>F101*$G$49</f>
        <v>254247045.9375</v>
      </c>
      <c r="G106" s="752">
        <f>G101*$G$49</f>
        <v>305096455.125</v>
      </c>
      <c r="H106" s="752">
        <f>H101*$G$49</f>
        <v>335606100.63749999</v>
      </c>
      <c r="I106" s="752">
        <f>I101*$G$49</f>
        <v>376285627.98750001</v>
      </c>
      <c r="L106" s="595">
        <v>3522037</v>
      </c>
      <c r="M106" s="208">
        <v>0.3</v>
      </c>
      <c r="P106" s="25"/>
      <c r="Q106" s="26"/>
      <c r="R106" s="26"/>
      <c r="S106" s="26"/>
      <c r="T106" s="26"/>
      <c r="U106" s="26"/>
      <c r="V106" s="26"/>
    </row>
    <row r="107" spans="3:22">
      <c r="C107" s="25" t="s">
        <v>1144</v>
      </c>
      <c r="D107" s="752"/>
      <c r="E107" s="752"/>
      <c r="F107" s="752"/>
      <c r="G107" s="752"/>
      <c r="H107" s="752"/>
      <c r="I107" s="752"/>
      <c r="M107" s="208">
        <v>0.25</v>
      </c>
      <c r="P107" s="25"/>
      <c r="Q107" s="26"/>
      <c r="R107" s="26"/>
      <c r="S107" s="26"/>
      <c r="T107" s="26"/>
      <c r="U107" s="26"/>
      <c r="V107" s="26"/>
    </row>
    <row r="108" spans="3:22">
      <c r="C108" s="25" t="s">
        <v>1247</v>
      </c>
      <c r="D108" s="752"/>
      <c r="E108" s="752"/>
      <c r="F108" s="752">
        <f>50000*G49</f>
        <v>525000000</v>
      </c>
      <c r="G108" s="752"/>
      <c r="H108" s="752"/>
      <c r="I108" s="752"/>
      <c r="M108" s="208"/>
      <c r="P108" s="25"/>
      <c r="Q108" s="26"/>
      <c r="R108" s="26"/>
      <c r="S108" s="26"/>
      <c r="T108" s="26"/>
      <c r="U108" s="26"/>
      <c r="V108" s="26"/>
    </row>
    <row r="109" spans="3:22">
      <c r="C109" s="25" t="s">
        <v>1226</v>
      </c>
      <c r="D109" s="752"/>
      <c r="E109" s="752"/>
      <c r="F109" s="752"/>
      <c r="G109" s="752"/>
      <c r="H109" s="752"/>
      <c r="I109" s="752">
        <f>(I131/2)*-1</f>
        <v>6563700</v>
      </c>
      <c r="K109" s="351" t="s">
        <v>1215</v>
      </c>
      <c r="L109" s="595">
        <f>L106*M107+L106*M106</f>
        <v>1937120.3499999999</v>
      </c>
      <c r="P109" s="25"/>
      <c r="Q109" s="26"/>
      <c r="R109" s="26"/>
      <c r="S109" s="26"/>
      <c r="T109" s="26"/>
      <c r="U109" s="26"/>
      <c r="V109" s="26"/>
    </row>
    <row r="110" spans="3:22">
      <c r="C110" s="25"/>
      <c r="D110" s="752"/>
      <c r="E110" s="752"/>
      <c r="F110" s="752"/>
      <c r="G110" s="752"/>
      <c r="H110" s="752"/>
      <c r="I110" s="752"/>
      <c r="L110" s="351" t="s">
        <v>1214</v>
      </c>
      <c r="M110" s="208">
        <v>0.01</v>
      </c>
      <c r="N110" s="768">
        <f>L109*M110</f>
        <v>19371.2035</v>
      </c>
      <c r="P110" s="25"/>
      <c r="Q110" s="26"/>
      <c r="R110" s="26"/>
      <c r="S110" s="26"/>
      <c r="T110" s="26"/>
      <c r="U110" s="26"/>
      <c r="V110" s="26"/>
    </row>
    <row r="111" spans="3:22">
      <c r="C111" s="25"/>
      <c r="D111" s="752"/>
      <c r="E111" s="752"/>
      <c r="F111" s="752"/>
      <c r="G111" s="752"/>
      <c r="H111" s="752"/>
      <c r="I111" s="753"/>
      <c r="M111" s="1215">
        <v>1.2500000000000001E-2</v>
      </c>
      <c r="N111" s="768">
        <f>L109*M111</f>
        <v>24214.004375</v>
      </c>
      <c r="P111" s="25"/>
      <c r="Q111" s="26"/>
      <c r="R111" s="26"/>
      <c r="S111" s="26"/>
      <c r="T111" s="26"/>
      <c r="U111" s="26"/>
      <c r="V111" s="280"/>
    </row>
    <row r="112" spans="3:22">
      <c r="C112" s="25" t="s">
        <v>1236</v>
      </c>
      <c r="D112" s="752"/>
      <c r="E112" s="752"/>
      <c r="F112" s="752"/>
      <c r="G112" s="752"/>
      <c r="H112" s="752"/>
      <c r="I112" s="753">
        <f>D154*0.6*-1</f>
        <v>7350000</v>
      </c>
      <c r="M112" s="1215">
        <v>1.4999999999999999E-2</v>
      </c>
      <c r="N112" s="768">
        <f>L109*M112</f>
        <v>29056.805249999998</v>
      </c>
      <c r="P112" s="25"/>
      <c r="Q112" s="26"/>
      <c r="R112" s="26"/>
      <c r="S112" s="26"/>
      <c r="T112" s="26"/>
      <c r="U112" s="26"/>
      <c r="V112" s="280"/>
    </row>
    <row r="113" spans="2:22">
      <c r="C113" s="25" t="s">
        <v>1237</v>
      </c>
      <c r="D113" s="752"/>
      <c r="E113" s="752"/>
      <c r="F113" s="752"/>
      <c r="G113" s="752"/>
      <c r="H113" s="752"/>
      <c r="I113" s="753">
        <f>D155*0.1*-1</f>
        <v>1400000</v>
      </c>
      <c r="M113" s="1215"/>
      <c r="N113" s="768"/>
      <c r="P113" s="25"/>
      <c r="Q113" s="26"/>
      <c r="R113" s="26"/>
      <c r="S113" s="26"/>
      <c r="T113" s="26"/>
      <c r="U113" s="26"/>
      <c r="V113" s="280"/>
    </row>
    <row r="114" spans="2:22">
      <c r="C114" s="25" t="s">
        <v>1238</v>
      </c>
      <c r="D114" s="752"/>
      <c r="E114" s="752"/>
      <c r="F114" s="752"/>
      <c r="G114" s="752"/>
      <c r="H114" s="752"/>
      <c r="I114" s="753">
        <f>D156*0.15*-1</f>
        <v>5591250</v>
      </c>
      <c r="M114" s="1215"/>
      <c r="N114" s="768"/>
      <c r="P114" s="25"/>
      <c r="Q114" s="26"/>
      <c r="R114" s="26"/>
      <c r="S114" s="26"/>
      <c r="T114" s="26"/>
      <c r="U114" s="26"/>
      <c r="V114" s="280"/>
    </row>
    <row r="115" spans="2:22">
      <c r="C115" s="25" t="s">
        <v>1123</v>
      </c>
      <c r="D115" s="752"/>
      <c r="E115" s="752"/>
      <c r="F115" s="752"/>
      <c r="G115" s="752"/>
      <c r="H115" s="752"/>
      <c r="I115" s="753"/>
      <c r="J115" s="351"/>
      <c r="M115" s="1215">
        <v>1.6500000000000001E-2</v>
      </c>
      <c r="N115" s="768">
        <f>L109*M115</f>
        <v>31962.485775000001</v>
      </c>
      <c r="P115" s="25"/>
      <c r="Q115" s="26"/>
      <c r="R115" s="26"/>
      <c r="S115" s="26"/>
      <c r="T115" s="26"/>
      <c r="U115" s="26"/>
      <c r="V115" s="280"/>
    </row>
    <row r="116" spans="2:22">
      <c r="C116" s="25" t="s">
        <v>1158</v>
      </c>
      <c r="D116" s="752"/>
      <c r="E116" s="752"/>
      <c r="F116" s="752"/>
      <c r="G116" s="752"/>
      <c r="H116" s="752"/>
      <c r="I116" s="753"/>
      <c r="J116" s="351"/>
      <c r="M116" s="1215">
        <v>1.8500000000000003E-2</v>
      </c>
      <c r="N116" s="768">
        <f>L109*M116</f>
        <v>35836.726475000003</v>
      </c>
      <c r="P116" s="25"/>
      <c r="Q116" s="26"/>
      <c r="R116" s="26"/>
      <c r="S116" s="26"/>
      <c r="T116" s="26"/>
      <c r="U116" s="26"/>
      <c r="V116" s="280"/>
    </row>
    <row r="117" spans="2:22">
      <c r="C117" s="269" t="s">
        <v>121</v>
      </c>
      <c r="D117" s="754"/>
      <c r="E117" s="754"/>
      <c r="F117" s="754"/>
      <c r="G117" s="754"/>
      <c r="H117" s="754"/>
      <c r="I117" s="754"/>
      <c r="P117" s="269"/>
      <c r="Q117" s="270"/>
      <c r="R117" s="270"/>
      <c r="S117" s="270"/>
      <c r="T117" s="270"/>
      <c r="U117" s="270"/>
      <c r="V117" s="270"/>
    </row>
    <row r="118" spans="2:22">
      <c r="C118" s="25" t="s">
        <v>122</v>
      </c>
      <c r="D118" s="752"/>
      <c r="F118" s="1204">
        <v>-33982380.8638971</v>
      </c>
      <c r="G118" s="1204">
        <v>-33514142.7067759</v>
      </c>
      <c r="H118" s="1204">
        <v>-32544941.2315813</v>
      </c>
      <c r="I118" s="1204">
        <v>-30538800.798058301</v>
      </c>
      <c r="J118" s="1204">
        <v>-26386310.792604599</v>
      </c>
      <c r="K118" s="1204">
        <v>-17791113.289351601</v>
      </c>
      <c r="P118" s="25"/>
      <c r="Q118" s="26"/>
      <c r="R118" s="26"/>
      <c r="S118" s="26"/>
      <c r="T118" s="26"/>
      <c r="U118" s="26"/>
      <c r="V118" s="26"/>
    </row>
    <row r="119" spans="2:22">
      <c r="C119" s="47" t="s">
        <v>1132</v>
      </c>
      <c r="D119" s="752"/>
      <c r="E119" s="752"/>
      <c r="F119" s="752"/>
      <c r="G119" s="752"/>
      <c r="H119" s="752"/>
      <c r="I119" s="752"/>
      <c r="J119" s="351"/>
      <c r="P119" s="47"/>
      <c r="Q119" s="26"/>
      <c r="R119" s="26"/>
      <c r="S119" s="26"/>
      <c r="T119" s="26"/>
      <c r="U119" s="26"/>
      <c r="V119" s="26"/>
    </row>
    <row r="120" spans="2:22">
      <c r="C120" s="631" t="s">
        <v>1213</v>
      </c>
      <c r="D120" s="752"/>
      <c r="E120" s="752">
        <f>-$I$55</f>
        <v>-10501312.5</v>
      </c>
      <c r="F120" s="752">
        <f>-$I$55</f>
        <v>-10501312.5</v>
      </c>
      <c r="G120" s="752">
        <f>-$I$55</f>
        <v>-10501312.5</v>
      </c>
      <c r="H120" s="752">
        <f>-$I$55</f>
        <v>-10501312.5</v>
      </c>
      <c r="I120" s="752">
        <f>-$I$55</f>
        <v>-10501312.5</v>
      </c>
      <c r="P120" s="47"/>
      <c r="Q120" s="26"/>
      <c r="R120" s="26"/>
      <c r="S120" s="26"/>
      <c r="T120" s="26"/>
      <c r="U120" s="26"/>
      <c r="V120" s="26"/>
    </row>
    <row r="121" spans="2:22">
      <c r="C121" s="1119" t="s">
        <v>1133</v>
      </c>
      <c r="D121" s="752"/>
      <c r="E121" s="752"/>
      <c r="F121" s="752"/>
      <c r="G121" s="752"/>
      <c r="H121" s="752"/>
      <c r="I121" s="752"/>
      <c r="P121" s="47"/>
      <c r="Q121" s="26"/>
      <c r="R121" s="26"/>
      <c r="S121" s="26"/>
      <c r="T121" s="26"/>
      <c r="U121" s="26"/>
      <c r="V121" s="26"/>
    </row>
    <row r="122" spans="2:22">
      <c r="C122" s="342" t="s">
        <v>1140</v>
      </c>
      <c r="D122" s="765"/>
      <c r="E122" s="752"/>
      <c r="F122" s="752"/>
      <c r="G122" s="752"/>
      <c r="H122" s="752"/>
      <c r="I122" s="752"/>
      <c r="P122" s="47"/>
      <c r="Q122" s="26"/>
      <c r="R122" s="26"/>
      <c r="S122" s="26"/>
      <c r="T122" s="26"/>
      <c r="U122" s="26"/>
      <c r="V122" s="26"/>
    </row>
    <row r="123" spans="2:22">
      <c r="C123" s="1120" t="s">
        <v>1141</v>
      </c>
      <c r="D123" s="765"/>
      <c r="E123" s="752"/>
      <c r="F123" s="752"/>
      <c r="G123" s="752"/>
      <c r="H123" s="752"/>
      <c r="I123" s="752"/>
      <c r="P123" s="47"/>
      <c r="Q123" s="26"/>
      <c r="R123" s="26"/>
      <c r="S123" s="26"/>
      <c r="T123" s="26"/>
      <c r="U123" s="26"/>
      <c r="V123" s="26"/>
    </row>
    <row r="124" spans="2:22">
      <c r="C124" s="102" t="s">
        <v>1241</v>
      </c>
      <c r="D124" s="752"/>
      <c r="E124" s="752">
        <f>E106*0.018*-1</f>
        <v>-3661157.4614999997</v>
      </c>
      <c r="F124" s="752">
        <f>F106*0.018*-1</f>
        <v>-4576446.8268749993</v>
      </c>
      <c r="G124" s="752">
        <f>G106*0.018*-1</f>
        <v>-5491736.1922499994</v>
      </c>
      <c r="H124" s="752">
        <f>H106*0.018*-1</f>
        <v>-6040909.8114749994</v>
      </c>
      <c r="I124" s="752">
        <f>I106*0.018*-1</f>
        <v>-6773141.3037749995</v>
      </c>
      <c r="P124" s="47"/>
      <c r="Q124" s="26"/>
      <c r="R124" s="26"/>
      <c r="S124" s="26"/>
      <c r="T124" s="26"/>
      <c r="U124" s="26"/>
      <c r="V124" s="26"/>
    </row>
    <row r="125" spans="2:22" ht="15.75" customHeight="1">
      <c r="C125" s="287" t="s">
        <v>1200</v>
      </c>
      <c r="D125" s="752"/>
      <c r="E125" s="752">
        <v>-1800000</v>
      </c>
      <c r="F125" s="752">
        <v>-1800000</v>
      </c>
      <c r="G125" s="752">
        <v>-1800000</v>
      </c>
      <c r="H125" s="752">
        <f>-1800000*1.25</f>
        <v>-2250000</v>
      </c>
      <c r="I125" s="752">
        <f>-1800000*1.25</f>
        <v>-2250000</v>
      </c>
      <c r="P125" s="287"/>
      <c r="Q125" s="26"/>
      <c r="R125" s="26"/>
      <c r="S125" s="26"/>
      <c r="T125" s="26"/>
      <c r="U125" s="26"/>
      <c r="V125" s="26"/>
    </row>
    <row r="126" spans="2:22" ht="15.75" customHeight="1">
      <c r="B126" s="351"/>
      <c r="C126" s="199" t="s">
        <v>1203</v>
      </c>
      <c r="D126" s="752"/>
      <c r="E126" s="752">
        <f>-900*175*12</f>
        <v>-1890000</v>
      </c>
      <c r="F126" s="752">
        <f>-900*175*12</f>
        <v>-1890000</v>
      </c>
      <c r="G126" s="752">
        <f>-900*175*12</f>
        <v>-1890000</v>
      </c>
      <c r="H126" s="752">
        <f>-900*175*12</f>
        <v>-1890000</v>
      </c>
      <c r="I126" s="752">
        <f>-900*175*12</f>
        <v>-1890000</v>
      </c>
      <c r="J126" s="351"/>
      <c r="P126" s="199"/>
      <c r="Q126" s="26"/>
      <c r="R126" s="26"/>
      <c r="S126" s="26"/>
      <c r="T126" s="26"/>
      <c r="U126" s="26"/>
      <c r="V126" s="26"/>
    </row>
    <row r="127" spans="2:22" ht="15.75" customHeight="1">
      <c r="B127" s="351"/>
      <c r="C127" s="1238" t="s">
        <v>1202</v>
      </c>
      <c r="D127" s="1239"/>
      <c r="E127" s="1239"/>
      <c r="F127" s="1239"/>
      <c r="G127" s="1239"/>
      <c r="H127" s="1239"/>
      <c r="I127" s="1239"/>
      <c r="J127" s="381" t="s">
        <v>1223</v>
      </c>
      <c r="P127" s="199"/>
      <c r="Q127" s="26"/>
      <c r="R127" s="26"/>
      <c r="S127" s="26"/>
      <c r="T127" s="26"/>
      <c r="U127" s="26"/>
      <c r="V127" s="26"/>
    </row>
    <row r="128" spans="2:22" ht="15.75" customHeight="1">
      <c r="B128" s="351"/>
      <c r="C128" s="199" t="s">
        <v>1138</v>
      </c>
      <c r="D128" s="752"/>
      <c r="E128" s="752"/>
      <c r="F128" s="752"/>
      <c r="G128" s="752"/>
      <c r="H128" s="752"/>
      <c r="I128" s="752"/>
      <c r="J128" s="351"/>
      <c r="P128" s="199"/>
      <c r="Q128" s="26"/>
      <c r="R128" s="26"/>
      <c r="S128" s="26"/>
      <c r="T128" s="26"/>
      <c r="U128" s="26"/>
      <c r="V128" s="26"/>
    </row>
    <row r="129" spans="2:22" ht="15.75" customHeight="1">
      <c r="B129" s="351"/>
      <c r="C129" s="199" t="s">
        <v>1134</v>
      </c>
      <c r="D129" s="752"/>
      <c r="E129" s="752"/>
      <c r="F129" s="752"/>
      <c r="G129" s="752"/>
      <c r="H129" s="752"/>
      <c r="I129" s="752"/>
      <c r="J129" s="351"/>
      <c r="P129" s="199"/>
      <c r="Q129" s="26"/>
      <c r="R129" s="26"/>
      <c r="S129" s="26"/>
      <c r="T129" s="26"/>
      <c r="U129" s="26"/>
      <c r="V129" s="26"/>
    </row>
    <row r="130" spans="2:22" ht="15.75" customHeight="1">
      <c r="B130" s="351"/>
      <c r="C130" s="199" t="s">
        <v>868</v>
      </c>
      <c r="D130" s="752"/>
      <c r="E130" s="752"/>
      <c r="F130" s="752"/>
      <c r="G130" s="752"/>
      <c r="H130" s="752"/>
      <c r="I130" s="752"/>
      <c r="P130" s="199"/>
      <c r="Q130" s="26"/>
      <c r="R130" s="26"/>
      <c r="S130" s="26"/>
      <c r="T130" s="26"/>
      <c r="U130" s="26"/>
      <c r="V130" s="26"/>
    </row>
    <row r="131" spans="2:22" ht="15.75" customHeight="1">
      <c r="B131" s="351"/>
      <c r="C131" s="1298" t="s">
        <v>1274</v>
      </c>
      <c r="D131" s="1046"/>
      <c r="E131" s="1046">
        <f>-180000*1.65*13*2*1.7</f>
        <v>-13127400</v>
      </c>
      <c r="F131" s="1046">
        <f>-180000*1.65*13*2*1.7</f>
        <v>-13127400</v>
      </c>
      <c r="G131" s="1046">
        <f>-180000*1.65*13*2*1.7</f>
        <v>-13127400</v>
      </c>
      <c r="H131" s="1046">
        <f>-180000*1.65*13*2*1.7</f>
        <v>-13127400</v>
      </c>
      <c r="I131" s="1046">
        <f>-180000*1.65*13*2*1.7</f>
        <v>-13127400</v>
      </c>
      <c r="P131" s="199"/>
      <c r="Q131" s="26"/>
      <c r="R131" s="26"/>
      <c r="S131" s="26"/>
      <c r="T131" s="26"/>
      <c r="U131" s="26"/>
      <c r="V131" s="26"/>
    </row>
    <row r="132" spans="2:22" ht="15.75" customHeight="1">
      <c r="B132" s="351"/>
      <c r="C132" s="1298" t="s">
        <v>1275</v>
      </c>
      <c r="D132" s="1046"/>
      <c r="E132" s="1046">
        <f>-180000*1.65*13*1*1.7</f>
        <v>-6563700</v>
      </c>
      <c r="F132" s="1046">
        <f>-180000*1.65*13*1*1.7</f>
        <v>-6563700</v>
      </c>
      <c r="G132" s="1046">
        <f>-180000*1.65*13*1*1.7</f>
        <v>-6563700</v>
      </c>
      <c r="H132" s="1046">
        <f>-180000*1.65*13*1*1.7</f>
        <v>-6563700</v>
      </c>
      <c r="I132" s="1046"/>
      <c r="P132" s="199"/>
      <c r="Q132" s="26"/>
      <c r="R132" s="26"/>
      <c r="S132" s="26"/>
      <c r="T132" s="26"/>
      <c r="U132" s="26"/>
      <c r="V132" s="26"/>
    </row>
    <row r="133" spans="2:22" ht="15.75" customHeight="1">
      <c r="C133" s="199" t="s">
        <v>543</v>
      </c>
      <c r="D133" s="752"/>
      <c r="E133" s="752"/>
      <c r="F133" s="752"/>
      <c r="G133" s="752"/>
      <c r="H133" s="752"/>
      <c r="I133" s="752"/>
      <c r="P133" s="199"/>
      <c r="Q133" s="26"/>
      <c r="R133" s="26"/>
      <c r="S133" s="26"/>
      <c r="T133" s="26"/>
      <c r="U133" s="26"/>
      <c r="V133" s="26"/>
    </row>
    <row r="134" spans="2:22" ht="15.75" customHeight="1">
      <c r="C134" s="199" t="s">
        <v>766</v>
      </c>
      <c r="D134" s="752"/>
      <c r="E134" s="752"/>
      <c r="F134" s="752"/>
      <c r="G134" s="752"/>
      <c r="H134" s="752"/>
      <c r="I134" s="752"/>
      <c r="J134" s="351" t="s">
        <v>1147</v>
      </c>
      <c r="P134" s="199"/>
      <c r="Q134" s="26"/>
      <c r="R134" s="26"/>
      <c r="S134" s="26"/>
      <c r="T134" s="26"/>
      <c r="U134" s="26"/>
      <c r="V134" s="26"/>
    </row>
    <row r="135" spans="2:22">
      <c r="C135" s="267" t="s">
        <v>125</v>
      </c>
      <c r="D135" s="755"/>
      <c r="E135" s="755"/>
      <c r="F135" s="755"/>
      <c r="G135" s="755"/>
      <c r="H135" s="755"/>
      <c r="I135" s="755"/>
      <c r="P135" s="267"/>
      <c r="Q135" s="268"/>
      <c r="R135" s="268"/>
      <c r="S135" s="268"/>
      <c r="T135" s="268"/>
      <c r="U135" s="268"/>
      <c r="V135" s="268"/>
    </row>
    <row r="136" spans="2:22">
      <c r="C136" s="25" t="s">
        <v>761</v>
      </c>
      <c r="D136" s="752"/>
      <c r="E136" s="752">
        <f>$D$154/10</f>
        <v>-1225000</v>
      </c>
      <c r="F136" s="752">
        <f>$D$154/10</f>
        <v>-1225000</v>
      </c>
      <c r="G136" s="752">
        <f>$D$154/10</f>
        <v>-1225000</v>
      </c>
      <c r="H136" s="752">
        <f>$D$154/10</f>
        <v>-1225000</v>
      </c>
      <c r="I136" s="752">
        <f>$D$154/10</f>
        <v>-1225000</v>
      </c>
      <c r="J136" s="1746"/>
      <c r="K136" s="1747"/>
      <c r="L136" s="1747"/>
      <c r="M136" s="1747"/>
      <c r="P136" s="25"/>
      <c r="Q136" s="26"/>
      <c r="R136" s="26"/>
      <c r="S136" s="26"/>
      <c r="T136" s="26"/>
      <c r="U136" s="26"/>
      <c r="V136" s="26"/>
    </row>
    <row r="137" spans="2:22">
      <c r="C137" s="25" t="s">
        <v>1234</v>
      </c>
      <c r="D137" s="752"/>
      <c r="E137" s="752">
        <f>$D$155/5</f>
        <v>-2800000</v>
      </c>
      <c r="F137" s="752">
        <f>$D$155/5</f>
        <v>-2800000</v>
      </c>
      <c r="G137" s="752">
        <f>$D$155/5</f>
        <v>-2800000</v>
      </c>
      <c r="H137" s="752">
        <f>$D$155/5</f>
        <v>-2800000</v>
      </c>
      <c r="I137" s="752">
        <f>$D$155/5</f>
        <v>-2800000</v>
      </c>
      <c r="P137" s="25"/>
      <c r="Q137" s="26"/>
      <c r="R137" s="26"/>
      <c r="S137" s="26"/>
      <c r="T137" s="26"/>
      <c r="U137" s="26"/>
      <c r="V137" s="26"/>
    </row>
    <row r="138" spans="2:22">
      <c r="C138" s="25" t="s">
        <v>1235</v>
      </c>
      <c r="D138" s="752"/>
      <c r="E138" s="752">
        <f>$D$156/3</f>
        <v>-12425000</v>
      </c>
      <c r="F138" s="752">
        <f>$D$156/3</f>
        <v>-12425000</v>
      </c>
      <c r="G138" s="752">
        <f>$D$156/3</f>
        <v>-12425000</v>
      </c>
      <c r="H138" s="752"/>
      <c r="I138" s="752"/>
      <c r="P138" s="25"/>
      <c r="Q138" s="26"/>
      <c r="R138" s="26"/>
      <c r="S138" s="26"/>
      <c r="T138" s="26"/>
      <c r="U138" s="26"/>
      <c r="V138" s="26"/>
    </row>
    <row r="139" spans="2:22">
      <c r="C139" s="25" t="s">
        <v>1151</v>
      </c>
      <c r="D139" s="752"/>
      <c r="E139" s="752"/>
      <c r="F139" s="752"/>
      <c r="G139" s="752"/>
      <c r="H139" s="752"/>
      <c r="I139" s="752"/>
      <c r="P139" s="25"/>
      <c r="Q139" s="26"/>
      <c r="R139" s="26"/>
      <c r="S139" s="26"/>
      <c r="T139" s="26"/>
      <c r="U139" s="26"/>
      <c r="V139" s="26"/>
    </row>
    <row r="140" spans="2:22">
      <c r="C140" s="25" t="s">
        <v>787</v>
      </c>
      <c r="D140" s="752"/>
      <c r="E140" s="752"/>
      <c r="F140" s="752"/>
      <c r="G140" s="752"/>
      <c r="H140" s="752"/>
      <c r="I140" s="756"/>
      <c r="P140" s="25"/>
      <c r="Q140" s="26"/>
      <c r="R140" s="26"/>
      <c r="S140" s="26"/>
      <c r="T140" s="26"/>
      <c r="U140" s="26"/>
      <c r="V140" s="26"/>
    </row>
    <row r="141" spans="2:22">
      <c r="C141" s="25" t="s">
        <v>333</v>
      </c>
      <c r="D141" s="752"/>
      <c r="E141" s="752"/>
      <c r="F141" s="752"/>
      <c r="G141" s="752"/>
      <c r="H141" s="752"/>
      <c r="I141" s="759">
        <f>I136*5</f>
        <v>-6125000</v>
      </c>
      <c r="P141" s="25"/>
      <c r="Q141" s="26"/>
      <c r="R141" s="26"/>
      <c r="S141" s="26"/>
      <c r="T141" s="26"/>
      <c r="U141" s="26"/>
      <c r="V141" s="26"/>
    </row>
    <row r="142" spans="2:22">
      <c r="C142" s="25" t="s">
        <v>334</v>
      </c>
      <c r="D142" s="752"/>
      <c r="E142" s="752"/>
      <c r="F142" s="752"/>
      <c r="G142" s="752"/>
      <c r="H142" s="757"/>
      <c r="I142" s="758">
        <v>0</v>
      </c>
      <c r="P142" s="25"/>
      <c r="Q142" s="26"/>
      <c r="R142" s="26"/>
      <c r="S142" s="26"/>
      <c r="T142" s="26"/>
      <c r="U142" s="26"/>
      <c r="V142" s="26"/>
    </row>
    <row r="143" spans="2:22">
      <c r="C143" s="25" t="s">
        <v>575</v>
      </c>
      <c r="D143" s="752"/>
      <c r="E143" s="752"/>
      <c r="F143" s="752"/>
      <c r="G143" s="752">
        <v>0</v>
      </c>
      <c r="H143" s="752"/>
      <c r="P143" s="25"/>
      <c r="Q143" s="26"/>
      <c r="R143" s="26"/>
      <c r="S143" s="26"/>
      <c r="T143" s="26"/>
      <c r="U143" s="26"/>
      <c r="V143" s="26"/>
    </row>
    <row r="144" spans="2:22">
      <c r="C144" s="25" t="s">
        <v>1152</v>
      </c>
      <c r="D144" s="752"/>
      <c r="E144" s="752"/>
      <c r="F144" s="752"/>
      <c r="G144" s="752"/>
      <c r="H144" s="752"/>
      <c r="I144" s="759"/>
      <c r="P144" s="25"/>
      <c r="Q144" s="26"/>
      <c r="R144" s="26"/>
      <c r="S144" s="26"/>
      <c r="T144" s="26"/>
      <c r="U144" s="26"/>
      <c r="V144" s="26"/>
    </row>
    <row r="145" spans="3:23">
      <c r="C145" s="25" t="s">
        <v>786</v>
      </c>
      <c r="D145" s="752"/>
      <c r="E145" s="752"/>
      <c r="F145" s="752"/>
      <c r="G145" s="752"/>
      <c r="H145" s="752"/>
      <c r="I145" s="759"/>
      <c r="P145" s="25"/>
      <c r="Q145" s="26"/>
      <c r="R145" s="26"/>
      <c r="S145" s="26"/>
      <c r="T145" s="26"/>
      <c r="U145" s="26"/>
      <c r="V145" s="26"/>
    </row>
    <row r="146" spans="3:23" ht="14.25">
      <c r="C146" s="31" t="s">
        <v>130</v>
      </c>
      <c r="D146" s="760"/>
      <c r="E146" s="760">
        <f>SUM(E106:E145)</f>
        <v>149404066.78850001</v>
      </c>
      <c r="F146" s="760">
        <f>SUM(F106:F145)</f>
        <v>690355805.74672794</v>
      </c>
      <c r="G146" s="760">
        <f>SUM(G106:G145)</f>
        <v>215758163.72597408</v>
      </c>
      <c r="H146" s="760">
        <f>SUM(H106:H145)</f>
        <v>258662837.09444374</v>
      </c>
      <c r="I146" s="760">
        <f>SUM(I106:I145)</f>
        <v>321959923.38566667</v>
      </c>
      <c r="K146" s="259"/>
      <c r="L146" s="259"/>
      <c r="M146" s="259"/>
      <c r="P146" s="31"/>
      <c r="Q146" s="32"/>
      <c r="R146" s="32"/>
      <c r="S146" s="32"/>
      <c r="T146" s="32"/>
      <c r="U146" s="32"/>
      <c r="V146" s="32"/>
    </row>
    <row r="147" spans="3:23">
      <c r="C147" s="33" t="s">
        <v>349</v>
      </c>
      <c r="D147" s="752"/>
      <c r="E147" s="752">
        <f>E146*0.35</f>
        <v>52291423.375974998</v>
      </c>
      <c r="F147" s="752">
        <f>F146*0.35</f>
        <v>241624532.01135477</v>
      </c>
      <c r="G147" s="752">
        <f>G146*0.35</f>
        <v>75515357.304090917</v>
      </c>
      <c r="H147" s="752">
        <f>H146*0.35</f>
        <v>90531992.983055308</v>
      </c>
      <c r="I147" s="752">
        <f>I146*0.35</f>
        <v>112685973.18498333</v>
      </c>
      <c r="K147" s="276"/>
      <c r="L147" s="259"/>
      <c r="M147" s="259"/>
      <c r="P147" s="33"/>
      <c r="Q147" s="26"/>
      <c r="R147" s="26"/>
      <c r="S147" s="26"/>
      <c r="T147" s="26"/>
      <c r="U147" s="26"/>
      <c r="V147" s="26"/>
    </row>
    <row r="148" spans="3:23" ht="28.5">
      <c r="C148" s="34" t="s">
        <v>132</v>
      </c>
      <c r="D148" s="761"/>
      <c r="E148" s="761">
        <f>E146-E147</f>
        <v>97112643.412525013</v>
      </c>
      <c r="F148" s="761">
        <f>F146-F147</f>
        <v>448731273.73537314</v>
      </c>
      <c r="G148" s="761">
        <f>G146-G147</f>
        <v>140242806.42188317</v>
      </c>
      <c r="H148" s="761">
        <f>H146-H147</f>
        <v>168130844.11138844</v>
      </c>
      <c r="I148" s="761">
        <f>I146-I147</f>
        <v>209273950.20068336</v>
      </c>
      <c r="P148" s="34"/>
      <c r="Q148" s="35"/>
      <c r="R148" s="35"/>
      <c r="S148" s="35"/>
      <c r="T148" s="35"/>
      <c r="U148" s="35"/>
      <c r="V148" s="35"/>
    </row>
    <row r="149" spans="3:23">
      <c r="C149" s="33" t="s">
        <v>133</v>
      </c>
      <c r="D149" s="756"/>
      <c r="E149" s="756">
        <f>SUM(E136:E145)*-1</f>
        <v>16450000</v>
      </c>
      <c r="F149" s="756">
        <f>SUM(F136:F145)*-1</f>
        <v>16450000</v>
      </c>
      <c r="G149" s="756">
        <f>SUM(G136:G145)*-1</f>
        <v>16450000</v>
      </c>
      <c r="H149" s="756">
        <f>SUM(H136:H145)*-1</f>
        <v>4025000</v>
      </c>
      <c r="I149" s="756">
        <f>SUM(I136:I145)*-1</f>
        <v>10150000</v>
      </c>
      <c r="P149" s="33"/>
      <c r="Q149" s="26"/>
      <c r="R149" s="26"/>
      <c r="S149" s="26"/>
      <c r="T149" s="26"/>
      <c r="U149" s="26"/>
      <c r="V149" s="26"/>
    </row>
    <row r="150" spans="3:23">
      <c r="C150" s="751" t="s">
        <v>202</v>
      </c>
      <c r="D150" s="1204">
        <v>-57199696.944037527</v>
      </c>
      <c r="E150" s="816"/>
      <c r="F150" s="816"/>
      <c r="G150" s="816"/>
      <c r="H150" s="816"/>
      <c r="I150" s="764"/>
      <c r="P150" s="284"/>
      <c r="Q150" s="26"/>
      <c r="R150" s="26"/>
      <c r="S150" s="26"/>
      <c r="T150" s="26"/>
      <c r="U150" s="26"/>
    </row>
    <row r="151" spans="3:23">
      <c r="C151" s="25" t="s">
        <v>134</v>
      </c>
      <c r="D151" s="759"/>
      <c r="F151" s="1204">
        <v>-437650.74981439899</v>
      </c>
      <c r="G151" s="1204">
        <v>-905888.90693562501</v>
      </c>
      <c r="H151" s="1204">
        <v>-1875090.38213014</v>
      </c>
      <c r="I151" s="1204">
        <v>-3881230.8156532198</v>
      </c>
      <c r="J151" s="1204">
        <v>-8033720.8211068697</v>
      </c>
      <c r="K151" s="1204">
        <v>-16628918.324359899</v>
      </c>
      <c r="P151" s="25"/>
      <c r="R151" s="26"/>
      <c r="S151" s="26"/>
      <c r="T151" s="26"/>
      <c r="U151" s="26"/>
      <c r="V151" s="26"/>
    </row>
    <row r="152" spans="3:23">
      <c r="C152" s="25" t="s">
        <v>135</v>
      </c>
      <c r="D152" s="752"/>
      <c r="F152" s="752"/>
      <c r="G152" s="752"/>
      <c r="H152" s="752"/>
      <c r="I152" s="752"/>
      <c r="P152" s="286"/>
      <c r="R152" s="26"/>
      <c r="S152" s="26"/>
      <c r="T152" s="26"/>
      <c r="U152" s="26"/>
      <c r="V152" s="26"/>
    </row>
    <row r="153" spans="3:23">
      <c r="C153" s="25" t="s">
        <v>1229</v>
      </c>
      <c r="F153" s="752"/>
      <c r="G153" s="752"/>
      <c r="H153" s="752">
        <v>-1500000</v>
      </c>
      <c r="I153" s="752"/>
      <c r="P153" s="286"/>
      <c r="Q153" s="26"/>
      <c r="V153" s="26"/>
    </row>
    <row r="154" spans="3:23">
      <c r="C154" s="25" t="s">
        <v>1231</v>
      </c>
      <c r="D154" s="752">
        <f>70000*175*-1</f>
        <v>-12250000</v>
      </c>
      <c r="E154" s="752"/>
      <c r="F154" s="752"/>
      <c r="G154" s="757"/>
      <c r="H154" s="758"/>
      <c r="I154" s="765"/>
      <c r="P154" s="286"/>
      <c r="Q154" s="26"/>
      <c r="R154" s="26"/>
      <c r="S154" s="26"/>
      <c r="T154" s="26"/>
      <c r="U154" s="26"/>
      <c r="V154" s="26"/>
    </row>
    <row r="155" spans="3:23">
      <c r="C155" s="25" t="s">
        <v>1232</v>
      </c>
      <c r="D155" s="1046">
        <f>80000*175*-1</f>
        <v>-14000000</v>
      </c>
      <c r="E155" s="752"/>
      <c r="F155" s="752"/>
      <c r="G155" s="757"/>
      <c r="H155" s="758"/>
      <c r="I155" s="765"/>
      <c r="P155" s="286"/>
      <c r="Q155" s="26"/>
      <c r="R155" s="26"/>
      <c r="S155" s="26"/>
      <c r="T155" s="26"/>
      <c r="U155" s="26"/>
      <c r="V155" s="26"/>
    </row>
    <row r="156" spans="3:23">
      <c r="C156" s="25" t="s">
        <v>1233</v>
      </c>
      <c r="D156" s="752">
        <f>213000*175*-1</f>
        <v>-37275000</v>
      </c>
      <c r="E156" s="752"/>
      <c r="F156" s="752"/>
      <c r="G156" s="757"/>
      <c r="H156" s="758"/>
      <c r="I156" s="765"/>
      <c r="J156" s="663" t="s">
        <v>1186</v>
      </c>
      <c r="P156" s="286"/>
      <c r="Q156" s="26"/>
      <c r="R156" s="26"/>
      <c r="S156" s="26"/>
      <c r="T156" s="26"/>
      <c r="U156" s="26"/>
      <c r="V156" s="26"/>
    </row>
    <row r="157" spans="3:23">
      <c r="C157" s="286" t="s">
        <v>412</v>
      </c>
      <c r="D157" s="752"/>
      <c r="E157" s="752"/>
      <c r="F157" s="752"/>
      <c r="G157" s="752"/>
      <c r="H157" s="759"/>
      <c r="I157" s="752">
        <f>D150*-1</f>
        <v>57199696.944037527</v>
      </c>
      <c r="J157" s="663" t="s">
        <v>29</v>
      </c>
      <c r="P157" s="286"/>
      <c r="Q157" s="26"/>
      <c r="R157" s="26"/>
      <c r="S157" s="26"/>
      <c r="T157" s="26"/>
      <c r="U157" s="26"/>
      <c r="V157" s="26"/>
    </row>
    <row r="158" spans="3:23" ht="14.25">
      <c r="C158" s="37" t="s">
        <v>139</v>
      </c>
      <c r="D158" s="761">
        <f>SUM(D147:D157)</f>
        <v>-120724696.94403753</v>
      </c>
      <c r="E158" s="761">
        <f>SUM(E148:E157)</f>
        <v>113562643.41252501</v>
      </c>
      <c r="F158" s="761">
        <f>SUM(F148:F157)</f>
        <v>464743622.98555875</v>
      </c>
      <c r="G158" s="761">
        <f>SUM(G148:G157)</f>
        <v>155786917.51494753</v>
      </c>
      <c r="H158" s="761">
        <f>SUM(H148:H157)</f>
        <v>168780753.7292583</v>
      </c>
      <c r="I158" s="761">
        <f>SUM(I148:I157)</f>
        <v>272742416.32906771</v>
      </c>
      <c r="J158" s="1055">
        <f>NPV(C180,E158:I158)+D158</f>
        <v>574770852.17971385</v>
      </c>
      <c r="P158" s="37"/>
      <c r="Q158" s="35"/>
      <c r="R158" s="35"/>
      <c r="S158" s="35"/>
      <c r="T158" s="35"/>
      <c r="U158" s="35"/>
      <c r="V158" s="35"/>
      <c r="W158" s="297"/>
    </row>
    <row r="159" spans="3:23">
      <c r="C159" s="3"/>
      <c r="E159" s="5"/>
      <c r="F159" s="5"/>
      <c r="G159" s="5"/>
      <c r="H159" s="5"/>
      <c r="I159" s="5"/>
    </row>
    <row r="160" spans="3:23">
      <c r="D160" s="1051"/>
    </row>
    <row r="161" spans="3:17">
      <c r="E161" s="297"/>
      <c r="K161" s="274"/>
    </row>
    <row r="162" spans="3:17">
      <c r="C162" s="593"/>
      <c r="D162" s="380"/>
      <c r="E162" s="380"/>
      <c r="F162" s="380"/>
      <c r="G162" s="1237"/>
      <c r="H162" s="380"/>
      <c r="I162" s="380"/>
    </row>
    <row r="163" spans="3:17" ht="12.75" customHeight="1">
      <c r="N163" s="299"/>
      <c r="O163" s="299"/>
      <c r="P163" s="299"/>
      <c r="Q163" s="299"/>
    </row>
    <row r="164" spans="3:17">
      <c r="N164" s="299"/>
      <c r="O164" s="299"/>
      <c r="P164" s="299"/>
      <c r="Q164" s="299"/>
    </row>
    <row r="165" spans="3:17">
      <c r="N165" s="299"/>
      <c r="O165" s="299"/>
      <c r="P165" s="299"/>
      <c r="Q165" s="299"/>
    </row>
    <row r="166" spans="3:17">
      <c r="N166" s="299"/>
      <c r="O166" s="299"/>
      <c r="P166" s="299"/>
      <c r="Q166" s="299"/>
    </row>
    <row r="167" spans="3:17">
      <c r="K167" s="299"/>
      <c r="L167" s="299"/>
      <c r="M167" s="299"/>
      <c r="N167" s="299"/>
    </row>
    <row r="168" spans="3:17">
      <c r="K168" s="299"/>
      <c r="L168" s="299"/>
      <c r="M168" s="299"/>
      <c r="N168" s="299"/>
    </row>
    <row r="169" spans="3:17">
      <c r="K169" s="299"/>
      <c r="L169" s="299"/>
      <c r="M169" s="299"/>
      <c r="N169" s="299"/>
    </row>
    <row r="170" spans="3:17">
      <c r="G170" s="25"/>
      <c r="H170" s="25" t="s">
        <v>483</v>
      </c>
      <c r="I170" s="25" t="s">
        <v>484</v>
      </c>
      <c r="K170" s="299"/>
      <c r="L170" s="299"/>
      <c r="M170" s="299"/>
      <c r="N170" s="299"/>
    </row>
    <row r="171" spans="3:17">
      <c r="G171" s="25" t="s">
        <v>485</v>
      </c>
      <c r="H171" s="343"/>
      <c r="I171" s="134"/>
      <c r="K171" s="299"/>
      <c r="L171" s="299"/>
      <c r="M171" s="299"/>
      <c r="N171" s="299"/>
    </row>
    <row r="172" spans="3:17">
      <c r="G172" s="25" t="s">
        <v>486</v>
      </c>
      <c r="H172" s="343"/>
      <c r="I172" s="134"/>
      <c r="N172" s="299"/>
      <c r="O172" s="299"/>
      <c r="P172" s="299"/>
      <c r="Q172" s="299"/>
    </row>
    <row r="173" spans="3:17">
      <c r="G173" s="25" t="s">
        <v>487</v>
      </c>
      <c r="H173" s="343"/>
      <c r="I173" s="134"/>
      <c r="N173" s="299"/>
      <c r="O173" s="299"/>
      <c r="P173" s="299"/>
      <c r="Q173" s="299"/>
    </row>
    <row r="174" spans="3:17">
      <c r="G174" s="271" t="s">
        <v>150</v>
      </c>
      <c r="H174" s="344"/>
      <c r="I174" s="25"/>
      <c r="J174" t="e">
        <f>H171*I171/(H171+H172)</f>
        <v>#DIV/0!</v>
      </c>
      <c r="N174" s="299"/>
      <c r="O174" s="299"/>
      <c r="P174" s="299"/>
      <c r="Q174" s="299"/>
    </row>
    <row r="175" spans="3:17">
      <c r="N175" s="299"/>
      <c r="O175" s="299"/>
      <c r="P175" s="299"/>
      <c r="Q175" s="299"/>
    </row>
    <row r="176" spans="3:17" ht="15">
      <c r="G176" s="345" t="s">
        <v>488</v>
      </c>
      <c r="H176" s="346"/>
      <c r="I176" t="s">
        <v>498</v>
      </c>
      <c r="N176" s="299"/>
      <c r="O176" s="299"/>
      <c r="P176" s="299"/>
      <c r="Q176" s="299"/>
    </row>
    <row r="177" spans="2:15" ht="15">
      <c r="G177" s="345" t="s">
        <v>489</v>
      </c>
      <c r="H177" s="346">
        <v>0.75</v>
      </c>
      <c r="I177" s="347" t="s">
        <v>490</v>
      </c>
    </row>
    <row r="178" spans="2:15" ht="15">
      <c r="G178" s="345" t="s">
        <v>491</v>
      </c>
      <c r="H178" s="346">
        <v>0.25</v>
      </c>
      <c r="I178" s="347" t="s">
        <v>492</v>
      </c>
    </row>
    <row r="179" spans="2:15" ht="15.75" thickBot="1">
      <c r="G179" s="345" t="s">
        <v>493</v>
      </c>
      <c r="H179" s="346"/>
      <c r="I179" t="s">
        <v>494</v>
      </c>
      <c r="M179" t="s">
        <v>448</v>
      </c>
      <c r="N179" s="304">
        <v>150000</v>
      </c>
      <c r="O179" s="352"/>
    </row>
    <row r="180" spans="2:15" ht="15">
      <c r="B180" s="40" t="s">
        <v>140</v>
      </c>
      <c r="C180" s="285">
        <f>C188*C182+C189*(1-C186)*C187+C190</f>
        <v>0.20194105000000001</v>
      </c>
      <c r="D180" s="351" t="s">
        <v>1268</v>
      </c>
      <c r="G180" s="345" t="s">
        <v>495</v>
      </c>
      <c r="H180" s="346"/>
      <c r="I180" t="s">
        <v>496</v>
      </c>
      <c r="M180" t="s">
        <v>448</v>
      </c>
      <c r="N180" s="305">
        <v>160000</v>
      </c>
      <c r="O180" s="353"/>
    </row>
    <row r="181" spans="2:15" ht="15.75" thickBot="1">
      <c r="B181" s="42" t="s">
        <v>141</v>
      </c>
      <c r="C181" s="43" t="s">
        <v>142</v>
      </c>
      <c r="M181" t="s">
        <v>449</v>
      </c>
    </row>
    <row r="182" spans="2:15" ht="15.75" thickBot="1">
      <c r="B182" s="44" t="s">
        <v>143</v>
      </c>
      <c r="C182" s="1257">
        <f>C183+C184*(C185-C183)</f>
        <v>1.194105E-2</v>
      </c>
      <c r="G182" s="348" t="s">
        <v>497</v>
      </c>
      <c r="H182" s="349">
        <f>H176*H177+H179*H178*(1-H180)</f>
        <v>0</v>
      </c>
    </row>
    <row r="183" spans="2:15" ht="15">
      <c r="B183" s="44" t="s">
        <v>144</v>
      </c>
      <c r="C183" s="821">
        <v>1.0999999999999999E-2</v>
      </c>
      <c r="D183" s="785" t="s">
        <v>1242</v>
      </c>
    </row>
    <row r="184" spans="2:15" ht="18.75" thickBot="1">
      <c r="B184" s="47" t="s">
        <v>7</v>
      </c>
      <c r="C184" s="1255">
        <v>1.4500000000000001E-2</v>
      </c>
      <c r="D184" s="786" t="s">
        <v>1243</v>
      </c>
      <c r="E184" s="351" t="s">
        <v>1244</v>
      </c>
      <c r="I184" s="350" t="s">
        <v>502</v>
      </c>
    </row>
    <row r="185" spans="2:15" ht="18">
      <c r="B185" s="47" t="s">
        <v>146</v>
      </c>
      <c r="C185" s="1036">
        <v>7.5899999999999995E-2</v>
      </c>
      <c r="D185" s="4" t="s">
        <v>890</v>
      </c>
      <c r="F185">
        <f>(11%/1.45%)+1.1%</f>
        <v>7.5972068965517252</v>
      </c>
      <c r="I185" s="350" t="s">
        <v>883</v>
      </c>
    </row>
    <row r="186" spans="2:15" ht="18">
      <c r="B186" s="47" t="s">
        <v>148</v>
      </c>
      <c r="C186" s="1256">
        <v>0.35</v>
      </c>
      <c r="D186" s="4"/>
      <c r="I186" s="350" t="s">
        <v>884</v>
      </c>
    </row>
    <row r="187" spans="2:15" ht="18">
      <c r="B187" s="47" t="s">
        <v>150</v>
      </c>
      <c r="C187" s="49">
        <v>0</v>
      </c>
      <c r="D187" s="4"/>
      <c r="I187" s="350" t="s">
        <v>885</v>
      </c>
    </row>
    <row r="188" spans="2:15">
      <c r="B188" s="47" t="s">
        <v>152</v>
      </c>
      <c r="C188" s="1036">
        <v>1</v>
      </c>
      <c r="E188" s="4"/>
      <c r="F188" s="4"/>
    </row>
    <row r="189" spans="2:15" ht="13.5" thickBot="1">
      <c r="B189" s="50" t="s">
        <v>154</v>
      </c>
      <c r="C189" s="51">
        <v>0</v>
      </c>
      <c r="D189" s="4"/>
      <c r="E189" s="4"/>
      <c r="F189" s="4"/>
    </row>
    <row r="190" spans="2:15">
      <c r="B190" s="1253" t="s">
        <v>969</v>
      </c>
      <c r="C190" s="1254">
        <v>0.19</v>
      </c>
    </row>
    <row r="191" spans="2:15" ht="15.75">
      <c r="L191" s="579"/>
    </row>
    <row r="192" spans="2:15">
      <c r="K192" s="254"/>
      <c r="L192" s="208"/>
    </row>
    <row r="193" spans="2:16" ht="14.25">
      <c r="B193" s="570" t="s">
        <v>143</v>
      </c>
      <c r="C193" s="571">
        <f>C195+C194*(C196-C195)</f>
        <v>0.41000000000000003</v>
      </c>
      <c r="D193" t="s">
        <v>744</v>
      </c>
      <c r="K193" s="254"/>
      <c r="L193" s="208"/>
      <c r="N193" s="580">
        <f>L206</f>
        <v>520000</v>
      </c>
      <c r="O193" s="208">
        <v>1</v>
      </c>
    </row>
    <row r="194" spans="2:16" ht="14.25">
      <c r="B194" s="570" t="s">
        <v>745</v>
      </c>
      <c r="C194" s="491">
        <v>1.8</v>
      </c>
      <c r="D194" t="s">
        <v>746</v>
      </c>
      <c r="K194" s="254"/>
      <c r="L194" s="1215"/>
      <c r="N194" s="580">
        <f>L203</f>
        <v>100000</v>
      </c>
      <c r="O194" s="581">
        <f>(N194*O193)/N193</f>
        <v>0.19230769230769232</v>
      </c>
    </row>
    <row r="195" spans="2:16" ht="14.25">
      <c r="B195" s="570" t="s">
        <v>144</v>
      </c>
      <c r="C195" s="572">
        <v>0.05</v>
      </c>
      <c r="D195" t="s">
        <v>747</v>
      </c>
    </row>
    <row r="196" spans="2:16" ht="14.25">
      <c r="B196" s="570" t="s">
        <v>146</v>
      </c>
      <c r="C196" s="572">
        <v>0.25</v>
      </c>
      <c r="N196" s="580">
        <f>L206</f>
        <v>520000</v>
      </c>
      <c r="O196" s="208">
        <v>1</v>
      </c>
    </row>
    <row r="197" spans="2:16" ht="14.25">
      <c r="B197" s="570"/>
      <c r="C197" s="574"/>
      <c r="D197" s="574"/>
      <c r="E197" s="574"/>
      <c r="F197" s="574"/>
      <c r="G197" s="574"/>
      <c r="H197" s="574"/>
      <c r="N197" s="582">
        <f>L204</f>
        <v>120000</v>
      </c>
      <c r="O197" s="583">
        <f>(N197*O196)/N196</f>
        <v>0.23076923076923078</v>
      </c>
    </row>
    <row r="198" spans="2:16">
      <c r="C198" s="303"/>
      <c r="D198" s="303"/>
      <c r="E198" s="303"/>
      <c r="F198" s="303"/>
      <c r="G198" s="303"/>
      <c r="H198" s="303"/>
    </row>
    <row r="199" spans="2:16">
      <c r="C199" s="303"/>
      <c r="D199" s="303"/>
      <c r="E199" s="303"/>
      <c r="F199" s="303"/>
      <c r="G199" s="303"/>
      <c r="H199" s="303"/>
      <c r="L199" t="s">
        <v>751</v>
      </c>
      <c r="N199" s="580">
        <f>L206</f>
        <v>520000</v>
      </c>
      <c r="O199" s="208">
        <v>1</v>
      </c>
    </row>
    <row r="200" spans="2:16" ht="14.25">
      <c r="C200" s="575"/>
      <c r="D200" s="576"/>
      <c r="E200" s="574"/>
      <c r="F200" s="584"/>
      <c r="G200" s="576"/>
      <c r="H200" s="576"/>
      <c r="N200" s="582">
        <f>L205</f>
        <v>300000</v>
      </c>
      <c r="O200" s="585">
        <f>(N200*O199)/N199</f>
        <v>0.57692307692307687</v>
      </c>
    </row>
    <row r="202" spans="2:16" ht="14.25">
      <c r="L202" s="570" t="s">
        <v>752</v>
      </c>
      <c r="N202" s="491" t="s">
        <v>1103</v>
      </c>
    </row>
    <row r="203" spans="2:16" ht="14.25">
      <c r="B203" s="570"/>
      <c r="C203" s="578"/>
      <c r="L203" s="582">
        <v>100000</v>
      </c>
      <c r="N203" s="468">
        <v>0.5</v>
      </c>
      <c r="O203" s="586">
        <v>0.25</v>
      </c>
      <c r="P203" s="578">
        <f>N203*O203</f>
        <v>0.125</v>
      </c>
    </row>
    <row r="204" spans="2:16" ht="15" thickBot="1">
      <c r="L204" s="582">
        <v>120000</v>
      </c>
      <c r="N204" s="468">
        <v>0.35</v>
      </c>
      <c r="O204" s="1217">
        <v>0.11</v>
      </c>
      <c r="P204" s="578">
        <f>N204*O204</f>
        <v>3.85E-2</v>
      </c>
    </row>
    <row r="205" spans="2:16" ht="15" thickBot="1">
      <c r="C205" s="1782" t="s">
        <v>888</v>
      </c>
      <c r="D205" s="1783"/>
      <c r="E205" s="1783"/>
      <c r="F205" s="1783"/>
      <c r="G205" s="1783"/>
      <c r="H205" s="1783"/>
      <c r="I205" s="1784"/>
      <c r="L205" s="588">
        <v>300000</v>
      </c>
      <c r="N205" s="468">
        <v>0.48</v>
      </c>
      <c r="O205" s="1216">
        <v>0.115</v>
      </c>
      <c r="P205" s="578">
        <f>N205*O205</f>
        <v>5.5199999999999999E-2</v>
      </c>
    </row>
    <row r="206" spans="2:16" ht="15">
      <c r="C206" s="772" t="s">
        <v>143</v>
      </c>
      <c r="D206" s="773">
        <f>D208+D207*(D209-D208)</f>
        <v>0.41000000000000003</v>
      </c>
      <c r="E206" s="774" t="s">
        <v>744</v>
      </c>
      <c r="F206" s="774"/>
      <c r="G206" s="774"/>
      <c r="H206" s="774"/>
      <c r="I206" s="775"/>
      <c r="L206" s="582">
        <f>SUM(L203:L205)</f>
        <v>520000</v>
      </c>
      <c r="N206" s="491"/>
      <c r="P206" s="591">
        <f>SUM(P203:P205)</f>
        <v>0.21870000000000001</v>
      </c>
    </row>
    <row r="207" spans="2:16" ht="14.25">
      <c r="C207" s="776" t="s">
        <v>745</v>
      </c>
      <c r="D207" s="777">
        <v>1.8</v>
      </c>
      <c r="E207" s="257" t="s">
        <v>746</v>
      </c>
      <c r="F207" s="257"/>
      <c r="G207" s="257"/>
      <c r="H207" s="257"/>
      <c r="I207" s="778"/>
      <c r="N207" s="491"/>
    </row>
    <row r="208" spans="2:16" ht="14.25">
      <c r="C208" s="776" t="s">
        <v>144</v>
      </c>
      <c r="D208" s="779">
        <v>0.05</v>
      </c>
      <c r="E208" s="257" t="s">
        <v>747</v>
      </c>
      <c r="F208" s="257"/>
      <c r="G208" s="257"/>
      <c r="H208" s="257"/>
      <c r="I208" s="778"/>
    </row>
    <row r="209" spans="3:14" ht="14.25">
      <c r="C209" s="776" t="s">
        <v>146</v>
      </c>
      <c r="D209" s="779">
        <v>0.25</v>
      </c>
      <c r="E209" s="257"/>
      <c r="F209" s="257"/>
      <c r="G209" s="257"/>
      <c r="H209" s="257"/>
      <c r="I209" s="778"/>
      <c r="L209" s="548"/>
      <c r="M209" s="548"/>
      <c r="N209" s="548"/>
    </row>
    <row r="210" spans="3:14" ht="13.5" thickBot="1">
      <c r="C210" s="780"/>
      <c r="D210" s="781"/>
      <c r="E210" s="781"/>
      <c r="F210" s="781"/>
      <c r="G210" s="781"/>
      <c r="H210" s="781"/>
      <c r="I210" s="782"/>
      <c r="M210" s="787"/>
      <c r="N210" s="788"/>
    </row>
    <row r="211" spans="3:14">
      <c r="M211" s="787"/>
    </row>
    <row r="212" spans="3:14" ht="14.25">
      <c r="M212" s="789"/>
    </row>
  </sheetData>
  <mergeCells count="21">
    <mergeCell ref="J136:M136"/>
    <mergeCell ref="C205:I205"/>
    <mergeCell ref="N85:O91"/>
    <mergeCell ref="K86:K90"/>
    <mergeCell ref="L86:L89"/>
    <mergeCell ref="M86:M90"/>
    <mergeCell ref="E91:F91"/>
    <mergeCell ref="I95:L95"/>
    <mergeCell ref="V66:Y66"/>
    <mergeCell ref="B72:D72"/>
    <mergeCell ref="M75:Q75"/>
    <mergeCell ref="M83:Q83"/>
    <mergeCell ref="D98:G98"/>
    <mergeCell ref="B84:K84"/>
    <mergeCell ref="M45:O45"/>
    <mergeCell ref="D61:D67"/>
    <mergeCell ref="A2:B12"/>
    <mergeCell ref="M30:N30"/>
    <mergeCell ref="O35:S35"/>
    <mergeCell ref="M41:O41"/>
    <mergeCell ref="M42:O42"/>
  </mergeCells>
  <conditionalFormatting sqref="G63:K63">
    <cfRule type="containsText" dxfId="4"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5875D-8986-4969-990D-F70D385FEBE5}">
  <sheetPr>
    <outlinePr summaryBelow="0" summaryRight="0"/>
  </sheetPr>
  <dimension ref="A1:AB95"/>
  <sheetViews>
    <sheetView topLeftCell="A10" zoomScaleNormal="100" workbookViewId="0">
      <selection activeCell="F59" sqref="F59"/>
    </sheetView>
  </sheetViews>
  <sheetFormatPr defaultColWidth="14.42578125" defaultRowHeight="15" customHeight="1"/>
  <cols>
    <col min="1" max="1" width="14.42578125" style="384"/>
    <col min="2" max="2" width="37" style="384" customWidth="1"/>
    <col min="3" max="3" width="18.7109375" style="384" bestFit="1" customWidth="1"/>
    <col min="4" max="4" width="18.140625" style="384" customWidth="1"/>
    <col min="5" max="5" width="18.7109375" style="384" bestFit="1" customWidth="1"/>
    <col min="6" max="6" width="22.85546875" style="384" customWidth="1"/>
    <col min="7" max="7" width="19.85546875" style="384" bestFit="1" customWidth="1"/>
    <col min="8" max="8" width="20.140625" style="384" bestFit="1" customWidth="1"/>
    <col min="9" max="9" width="21" style="384" customWidth="1"/>
    <col min="10" max="10" width="22.42578125" style="384" customWidth="1"/>
    <col min="11" max="16" width="20.140625" style="384" bestFit="1" customWidth="1"/>
    <col min="17" max="17" width="24.85546875" style="384" customWidth="1"/>
    <col min="18" max="18" width="21.7109375" style="384" customWidth="1"/>
    <col min="19" max="19" width="24" style="384" customWidth="1"/>
    <col min="20" max="20" width="18.7109375" style="384" customWidth="1"/>
    <col min="21" max="21" width="20.140625" style="384" customWidth="1"/>
    <col min="22" max="22" width="19.5703125" style="384" customWidth="1"/>
    <col min="23" max="23" width="19.28515625" style="384" customWidth="1"/>
    <col min="24" max="24" width="18.7109375" style="384" customWidth="1"/>
    <col min="25" max="25" width="18.85546875" style="384" customWidth="1"/>
    <col min="26" max="26" width="19.28515625" style="384" customWidth="1"/>
    <col min="27" max="27" width="20.28515625" style="384" customWidth="1"/>
    <col min="28" max="28" width="19.28515625" style="384" customWidth="1"/>
    <col min="29" max="16384" width="14.42578125" style="384"/>
  </cols>
  <sheetData>
    <row r="1" spans="1:28">
      <c r="A1" s="448"/>
      <c r="G1" s="1220" t="s">
        <v>1172</v>
      </c>
      <c r="H1" s="1220"/>
      <c r="I1" s="1219" t="s">
        <v>1173</v>
      </c>
    </row>
    <row r="2" spans="1:28" ht="15" customHeight="1">
      <c r="B2" s="1726" t="s">
        <v>628</v>
      </c>
      <c r="C2" s="1726"/>
      <c r="G2" s="1221" t="e">
        <f>(G9+G10+G11+#REF!+#REF!+#REF!)*12</f>
        <v>#REF!</v>
      </c>
      <c r="H2" s="1220"/>
    </row>
    <row r="3" spans="1:28" ht="15" customHeight="1">
      <c r="B3" s="1726"/>
      <c r="C3" s="1726"/>
      <c r="Q3" s="449" t="s">
        <v>629</v>
      </c>
      <c r="R3" s="449">
        <f>24214+50000</f>
        <v>74214</v>
      </c>
      <c r="S3" s="384" t="s">
        <v>630</v>
      </c>
    </row>
    <row r="4" spans="1:28" ht="15" customHeight="1">
      <c r="B4" s="1726"/>
      <c r="C4" s="1726"/>
      <c r="Q4" s="449" t="s">
        <v>631</v>
      </c>
      <c r="R4" s="450">
        <v>10500</v>
      </c>
    </row>
    <row r="5" spans="1:28" ht="15" customHeight="1">
      <c r="B5" s="451" t="s">
        <v>451</v>
      </c>
      <c r="C5" s="452"/>
      <c r="D5" s="452"/>
      <c r="E5" s="1727" t="s">
        <v>451</v>
      </c>
      <c r="F5" s="1727"/>
      <c r="G5" s="1727"/>
      <c r="H5" s="1727"/>
      <c r="I5" s="1727"/>
      <c r="J5" s="1727"/>
      <c r="K5" s="1727"/>
      <c r="L5" s="1727"/>
      <c r="M5" s="1727"/>
      <c r="N5" s="1727"/>
      <c r="O5" s="1727"/>
      <c r="P5" s="1727"/>
      <c r="Q5" s="1727" t="s">
        <v>632</v>
      </c>
      <c r="R5" s="1727"/>
      <c r="S5" s="1727"/>
      <c r="T5" s="1727"/>
      <c r="U5" s="1727"/>
      <c r="V5" s="1727"/>
      <c r="W5" s="1727"/>
      <c r="X5" s="1727"/>
      <c r="Y5" s="1727"/>
      <c r="Z5" s="1727"/>
      <c r="AA5" s="1727"/>
      <c r="AB5" s="1727"/>
    </row>
    <row r="6" spans="1:28" ht="15" customHeight="1">
      <c r="B6" s="453" t="s">
        <v>633</v>
      </c>
      <c r="C6" s="452"/>
      <c r="D6" s="452"/>
      <c r="E6" s="454">
        <v>1</v>
      </c>
      <c r="F6" s="455">
        <v>2</v>
      </c>
      <c r="G6" s="456">
        <v>3</v>
      </c>
      <c r="H6" s="457">
        <v>4</v>
      </c>
      <c r="I6" s="454">
        <v>5</v>
      </c>
      <c r="J6" s="454">
        <v>6</v>
      </c>
      <c r="K6" s="455">
        <v>7</v>
      </c>
      <c r="L6" s="456">
        <v>8</v>
      </c>
      <c r="M6" s="457">
        <v>9</v>
      </c>
      <c r="N6" s="454">
        <v>10</v>
      </c>
      <c r="O6" s="454">
        <v>11</v>
      </c>
      <c r="P6" s="455">
        <v>12</v>
      </c>
      <c r="Q6" s="454">
        <v>13</v>
      </c>
      <c r="R6" s="455">
        <v>14</v>
      </c>
      <c r="S6" s="456">
        <v>15</v>
      </c>
      <c r="T6" s="457">
        <v>16</v>
      </c>
      <c r="U6" s="454">
        <v>17</v>
      </c>
      <c r="V6" s="454">
        <v>18</v>
      </c>
      <c r="W6" s="455">
        <v>19</v>
      </c>
      <c r="X6" s="456">
        <v>20</v>
      </c>
      <c r="Y6" s="457">
        <v>21</v>
      </c>
      <c r="Z6" s="454">
        <v>22</v>
      </c>
      <c r="AA6" s="454">
        <v>23</v>
      </c>
      <c r="AB6" s="455">
        <v>24</v>
      </c>
    </row>
    <row r="7" spans="1:28" ht="15" customHeight="1">
      <c r="B7" s="458" t="s">
        <v>1170</v>
      </c>
      <c r="C7" s="1045">
        <v>19371.2035</v>
      </c>
      <c r="D7" s="452"/>
      <c r="E7" s="1048">
        <f>$C$7/12</f>
        <v>1614.2669583333334</v>
      </c>
      <c r="F7" s="1048">
        <f t="shared" ref="F7:P7" si="0">$C$7/12</f>
        <v>1614.2669583333334</v>
      </c>
      <c r="G7" s="1048">
        <f t="shared" si="0"/>
        <v>1614.2669583333334</v>
      </c>
      <c r="H7" s="1048">
        <f t="shared" si="0"/>
        <v>1614.2669583333334</v>
      </c>
      <c r="I7" s="1048">
        <f t="shared" si="0"/>
        <v>1614.2669583333334</v>
      </c>
      <c r="J7" s="1048">
        <f t="shared" si="0"/>
        <v>1614.2669583333334</v>
      </c>
      <c r="K7" s="1048">
        <f t="shared" si="0"/>
        <v>1614.2669583333334</v>
      </c>
      <c r="L7" s="1048">
        <f t="shared" si="0"/>
        <v>1614.2669583333334</v>
      </c>
      <c r="M7" s="1048">
        <f t="shared" si="0"/>
        <v>1614.2669583333334</v>
      </c>
      <c r="N7" s="1048">
        <f t="shared" si="0"/>
        <v>1614.2669583333334</v>
      </c>
      <c r="O7" s="1048">
        <f t="shared" si="0"/>
        <v>1614.2669583333334</v>
      </c>
      <c r="P7" s="1048">
        <f t="shared" si="0"/>
        <v>1614.2669583333334</v>
      </c>
      <c r="Q7" s="1048">
        <f>$R$3/12</f>
        <v>6184.5</v>
      </c>
      <c r="R7" s="1048">
        <f t="shared" ref="R7:AB7" si="1">$R$3/12</f>
        <v>6184.5</v>
      </c>
      <c r="S7" s="1048">
        <f t="shared" si="1"/>
        <v>6184.5</v>
      </c>
      <c r="T7" s="1048">
        <f t="shared" si="1"/>
        <v>6184.5</v>
      </c>
      <c r="U7" s="1048">
        <f t="shared" si="1"/>
        <v>6184.5</v>
      </c>
      <c r="V7" s="1048">
        <f t="shared" si="1"/>
        <v>6184.5</v>
      </c>
      <c r="W7" s="1048">
        <f t="shared" si="1"/>
        <v>6184.5</v>
      </c>
      <c r="X7" s="1048">
        <f t="shared" si="1"/>
        <v>6184.5</v>
      </c>
      <c r="Y7" s="1048">
        <f t="shared" si="1"/>
        <v>6184.5</v>
      </c>
      <c r="Z7" s="1048">
        <f t="shared" si="1"/>
        <v>6184.5</v>
      </c>
      <c r="AA7" s="1048">
        <f t="shared" si="1"/>
        <v>6184.5</v>
      </c>
      <c r="AB7" s="1048">
        <f t="shared" si="1"/>
        <v>6184.5</v>
      </c>
    </row>
    <row r="8" spans="1:28" ht="15" customHeight="1">
      <c r="B8" s="460" t="s">
        <v>1162</v>
      </c>
      <c r="C8" s="450">
        <v>10500</v>
      </c>
      <c r="D8" s="452"/>
      <c r="E8" s="452"/>
      <c r="F8" s="452"/>
      <c r="G8" s="452"/>
      <c r="H8" s="452"/>
      <c r="Q8" s="452"/>
      <c r="R8" s="452"/>
      <c r="S8" s="452"/>
      <c r="T8" s="452"/>
    </row>
    <row r="9" spans="1:28" ht="15" customHeight="1">
      <c r="B9" s="461" t="s">
        <v>1164</v>
      </c>
      <c r="C9" s="462">
        <v>0</v>
      </c>
      <c r="D9" s="452"/>
      <c r="E9" s="463">
        <f t="shared" ref="E9:AB9" si="2">$C$9*$C$8*E7</f>
        <v>0</v>
      </c>
      <c r="F9" s="463">
        <f t="shared" si="2"/>
        <v>0</v>
      </c>
      <c r="G9" s="1218">
        <f t="shared" si="2"/>
        <v>0</v>
      </c>
      <c r="H9" s="463">
        <f t="shared" si="2"/>
        <v>0</v>
      </c>
      <c r="I9" s="463">
        <f t="shared" si="2"/>
        <v>0</v>
      </c>
      <c r="J9" s="463">
        <f t="shared" si="2"/>
        <v>0</v>
      </c>
      <c r="K9" s="463">
        <f t="shared" si="2"/>
        <v>0</v>
      </c>
      <c r="L9" s="463">
        <f t="shared" si="2"/>
        <v>0</v>
      </c>
      <c r="M9" s="463">
        <f t="shared" si="2"/>
        <v>0</v>
      </c>
      <c r="N9" s="463">
        <f t="shared" si="2"/>
        <v>0</v>
      </c>
      <c r="O9" s="463">
        <f t="shared" si="2"/>
        <v>0</v>
      </c>
      <c r="P9" s="463">
        <f t="shared" si="2"/>
        <v>0</v>
      </c>
      <c r="Q9" s="463">
        <f t="shared" si="2"/>
        <v>0</v>
      </c>
      <c r="R9" s="463">
        <f t="shared" si="2"/>
        <v>0</v>
      </c>
      <c r="S9" s="463">
        <f t="shared" si="2"/>
        <v>0</v>
      </c>
      <c r="T9" s="463">
        <f t="shared" si="2"/>
        <v>0</v>
      </c>
      <c r="U9" s="463">
        <f t="shared" si="2"/>
        <v>0</v>
      </c>
      <c r="V9" s="463">
        <f t="shared" si="2"/>
        <v>0</v>
      </c>
      <c r="W9" s="463">
        <f t="shared" si="2"/>
        <v>0</v>
      </c>
      <c r="X9" s="463">
        <f t="shared" si="2"/>
        <v>0</v>
      </c>
      <c r="Y9" s="463">
        <f t="shared" si="2"/>
        <v>0</v>
      </c>
      <c r="Z9" s="463">
        <f t="shared" si="2"/>
        <v>0</v>
      </c>
      <c r="AA9" s="463">
        <f t="shared" si="2"/>
        <v>0</v>
      </c>
      <c r="AB9" s="463">
        <f t="shared" si="2"/>
        <v>0</v>
      </c>
    </row>
    <row r="10" spans="1:28" ht="15" customHeight="1">
      <c r="B10" s="461" t="s">
        <v>1165</v>
      </c>
      <c r="C10" s="462">
        <v>0.3</v>
      </c>
      <c r="D10" s="452"/>
      <c r="E10" s="463"/>
      <c r="F10" s="463">
        <f t="shared" ref="F10:AB10" si="3">$C$10*$C$8*F7</f>
        <v>5084940.9187500002</v>
      </c>
      <c r="G10" s="1218">
        <f t="shared" si="3"/>
        <v>5084940.9187500002</v>
      </c>
      <c r="H10" s="463">
        <f t="shared" si="3"/>
        <v>5084940.9187500002</v>
      </c>
      <c r="I10" s="463">
        <f t="shared" si="3"/>
        <v>5084940.9187500002</v>
      </c>
      <c r="J10" s="463">
        <f t="shared" si="3"/>
        <v>5084940.9187500002</v>
      </c>
      <c r="K10" s="463">
        <f t="shared" si="3"/>
        <v>5084940.9187500002</v>
      </c>
      <c r="L10" s="463">
        <f t="shared" si="3"/>
        <v>5084940.9187500002</v>
      </c>
      <c r="M10" s="463">
        <f t="shared" si="3"/>
        <v>5084940.9187500002</v>
      </c>
      <c r="N10" s="463">
        <f t="shared" si="3"/>
        <v>5084940.9187500002</v>
      </c>
      <c r="O10" s="463">
        <f t="shared" si="3"/>
        <v>5084940.9187500002</v>
      </c>
      <c r="P10" s="463">
        <f t="shared" si="3"/>
        <v>5084940.9187500002</v>
      </c>
      <c r="Q10" s="463">
        <f t="shared" si="3"/>
        <v>19481175</v>
      </c>
      <c r="R10" s="463">
        <f t="shared" si="3"/>
        <v>19481175</v>
      </c>
      <c r="S10" s="463">
        <f t="shared" si="3"/>
        <v>19481175</v>
      </c>
      <c r="T10" s="463">
        <f t="shared" si="3"/>
        <v>19481175</v>
      </c>
      <c r="U10" s="463">
        <f t="shared" si="3"/>
        <v>19481175</v>
      </c>
      <c r="V10" s="463">
        <f t="shared" si="3"/>
        <v>19481175</v>
      </c>
      <c r="W10" s="463">
        <f t="shared" si="3"/>
        <v>19481175</v>
      </c>
      <c r="X10" s="463">
        <f t="shared" si="3"/>
        <v>19481175</v>
      </c>
      <c r="Y10" s="463">
        <f t="shared" si="3"/>
        <v>19481175</v>
      </c>
      <c r="Z10" s="463">
        <f t="shared" si="3"/>
        <v>19481175</v>
      </c>
      <c r="AA10" s="463">
        <f t="shared" si="3"/>
        <v>19481175</v>
      </c>
      <c r="AB10" s="463">
        <f t="shared" si="3"/>
        <v>19481175</v>
      </c>
    </row>
    <row r="11" spans="1:28" ht="15" customHeight="1">
      <c r="B11" s="461" t="s">
        <v>1166</v>
      </c>
      <c r="C11" s="462">
        <v>0.7</v>
      </c>
      <c r="D11" s="452"/>
      <c r="E11" s="463"/>
      <c r="F11" s="463"/>
      <c r="G11" s="1218">
        <f t="shared" ref="G11:AB11" si="4">$C$11*$C$8*G7</f>
        <v>11864862.143749999</v>
      </c>
      <c r="H11" s="463">
        <f t="shared" si="4"/>
        <v>11864862.143749999</v>
      </c>
      <c r="I11" s="463">
        <f t="shared" si="4"/>
        <v>11864862.143749999</v>
      </c>
      <c r="J11" s="463">
        <f t="shared" si="4"/>
        <v>11864862.143749999</v>
      </c>
      <c r="K11" s="463">
        <f t="shared" si="4"/>
        <v>11864862.143749999</v>
      </c>
      <c r="L11" s="463">
        <f t="shared" si="4"/>
        <v>11864862.143749999</v>
      </c>
      <c r="M11" s="463">
        <f t="shared" si="4"/>
        <v>11864862.143749999</v>
      </c>
      <c r="N11" s="463">
        <f t="shared" si="4"/>
        <v>11864862.143749999</v>
      </c>
      <c r="O11" s="463">
        <f t="shared" si="4"/>
        <v>11864862.143749999</v>
      </c>
      <c r="P11" s="463">
        <f t="shared" si="4"/>
        <v>11864862.143749999</v>
      </c>
      <c r="Q11" s="463">
        <f t="shared" si="4"/>
        <v>45456074.999999993</v>
      </c>
      <c r="R11" s="463">
        <f t="shared" si="4"/>
        <v>45456074.999999993</v>
      </c>
      <c r="S11" s="463">
        <f t="shared" si="4"/>
        <v>45456074.999999993</v>
      </c>
      <c r="T11" s="463">
        <f t="shared" si="4"/>
        <v>45456074.999999993</v>
      </c>
      <c r="U11" s="463">
        <f t="shared" si="4"/>
        <v>45456074.999999993</v>
      </c>
      <c r="V11" s="463">
        <f t="shared" si="4"/>
        <v>45456074.999999993</v>
      </c>
      <c r="W11" s="463">
        <f t="shared" si="4"/>
        <v>45456074.999999993</v>
      </c>
      <c r="X11" s="463">
        <f t="shared" si="4"/>
        <v>45456074.999999993</v>
      </c>
      <c r="Y11" s="463">
        <f t="shared" si="4"/>
        <v>45456074.999999993</v>
      </c>
      <c r="Z11" s="463">
        <f t="shared" si="4"/>
        <v>45456074.999999993</v>
      </c>
      <c r="AA11" s="463">
        <f t="shared" si="4"/>
        <v>45456074.999999993</v>
      </c>
      <c r="AB11" s="463">
        <f t="shared" si="4"/>
        <v>45456074.999999993</v>
      </c>
    </row>
    <row r="12" spans="1:28" ht="15" customHeight="1">
      <c r="B12" s="464" t="s">
        <v>638</v>
      </c>
      <c r="C12" s="465">
        <v>0</v>
      </c>
      <c r="D12" s="466"/>
      <c r="E12" s="467"/>
      <c r="F12" s="467"/>
      <c r="G12" s="467"/>
      <c r="H12" s="467">
        <f t="shared" ref="H12:P12" si="5">$C$12*$C$8*H7</f>
        <v>0</v>
      </c>
      <c r="I12" s="467">
        <f t="shared" si="5"/>
        <v>0</v>
      </c>
      <c r="J12" s="467">
        <f t="shared" si="5"/>
        <v>0</v>
      </c>
      <c r="K12" s="467">
        <f t="shared" si="5"/>
        <v>0</v>
      </c>
      <c r="L12" s="467">
        <f t="shared" si="5"/>
        <v>0</v>
      </c>
      <c r="M12" s="467">
        <f t="shared" si="5"/>
        <v>0</v>
      </c>
      <c r="N12" s="467">
        <f t="shared" si="5"/>
        <v>0</v>
      </c>
      <c r="O12" s="467">
        <f t="shared" si="5"/>
        <v>0</v>
      </c>
      <c r="P12" s="467">
        <f t="shared" si="5"/>
        <v>0</v>
      </c>
      <c r="Q12" s="467">
        <f>$C$12*R4*Q7</f>
        <v>0</v>
      </c>
      <c r="R12" s="467">
        <f>$C$12*R4*R7</f>
        <v>0</v>
      </c>
      <c r="S12" s="467">
        <f>$C$12*R4*S7</f>
        <v>0</v>
      </c>
      <c r="T12" s="467">
        <f>$C$12*R4*T7</f>
        <v>0</v>
      </c>
      <c r="U12" s="467">
        <f>$C$12*R4*U7</f>
        <v>0</v>
      </c>
      <c r="V12" s="467">
        <f>$C$12*R4*V7</f>
        <v>0</v>
      </c>
      <c r="W12" s="467">
        <f>$C$12*R4*W7</f>
        <v>0</v>
      </c>
      <c r="X12" s="467">
        <f>$C$12*R4*X7</f>
        <v>0</v>
      </c>
      <c r="Y12" s="467">
        <f>$C$12*R4*Y7</f>
        <v>0</v>
      </c>
      <c r="Z12" s="467">
        <f>$C$12*R4*Z7</f>
        <v>0</v>
      </c>
      <c r="AA12" s="467">
        <f>$C$12*R4*AA7</f>
        <v>0</v>
      </c>
      <c r="AB12" s="467">
        <f>$C$12*R4*AB7</f>
        <v>0</v>
      </c>
    </row>
    <row r="13" spans="1:28" ht="15" customHeight="1">
      <c r="B13" s="461"/>
      <c r="C13" s="468">
        <f>SUM(C12:C12)</f>
        <v>0</v>
      </c>
      <c r="D13" s="452"/>
      <c r="E13" s="463">
        <f t="shared" ref="E13:AB13" si="6">SUM(E8:E12)</f>
        <v>0</v>
      </c>
      <c r="F13" s="463">
        <f t="shared" si="6"/>
        <v>5084940.9187500002</v>
      </c>
      <c r="G13" s="463">
        <f t="shared" si="6"/>
        <v>16949803.0625</v>
      </c>
      <c r="H13" s="463">
        <f t="shared" si="6"/>
        <v>16949803.0625</v>
      </c>
      <c r="I13" s="463">
        <f t="shared" si="6"/>
        <v>16949803.0625</v>
      </c>
      <c r="J13" s="463">
        <f t="shared" si="6"/>
        <v>16949803.0625</v>
      </c>
      <c r="K13" s="463">
        <f t="shared" si="6"/>
        <v>16949803.0625</v>
      </c>
      <c r="L13" s="463">
        <f t="shared" si="6"/>
        <v>16949803.0625</v>
      </c>
      <c r="M13" s="463">
        <f t="shared" si="6"/>
        <v>16949803.0625</v>
      </c>
      <c r="N13" s="463">
        <f t="shared" si="6"/>
        <v>16949803.0625</v>
      </c>
      <c r="O13" s="463">
        <f t="shared" si="6"/>
        <v>16949803.0625</v>
      </c>
      <c r="P13" s="463">
        <f t="shared" si="6"/>
        <v>16949803.0625</v>
      </c>
      <c r="Q13" s="463">
        <f t="shared" si="6"/>
        <v>64937249.999999993</v>
      </c>
      <c r="R13" s="463">
        <f t="shared" si="6"/>
        <v>64937249.999999993</v>
      </c>
      <c r="S13" s="463">
        <f t="shared" si="6"/>
        <v>64937249.999999993</v>
      </c>
      <c r="T13" s="463">
        <f t="shared" si="6"/>
        <v>64937249.999999993</v>
      </c>
      <c r="U13" s="463">
        <f t="shared" si="6"/>
        <v>64937249.999999993</v>
      </c>
      <c r="V13" s="463">
        <f t="shared" si="6"/>
        <v>64937249.999999993</v>
      </c>
      <c r="W13" s="463">
        <f t="shared" si="6"/>
        <v>64937249.999999993</v>
      </c>
      <c r="X13" s="463">
        <f t="shared" si="6"/>
        <v>64937249.999999993</v>
      </c>
      <c r="Y13" s="463">
        <f t="shared" si="6"/>
        <v>64937249.999999993</v>
      </c>
      <c r="Z13" s="463">
        <f t="shared" si="6"/>
        <v>64937249.999999993</v>
      </c>
      <c r="AA13" s="463">
        <f t="shared" si="6"/>
        <v>64937249.999999993</v>
      </c>
      <c r="AB13" s="463">
        <f t="shared" si="6"/>
        <v>64937249.999999993</v>
      </c>
    </row>
    <row r="14" spans="1:28" ht="15" customHeight="1">
      <c r="B14" s="453" t="s">
        <v>639</v>
      </c>
      <c r="C14" s="452"/>
      <c r="D14" s="452"/>
      <c r="E14" s="452"/>
      <c r="F14" s="452"/>
      <c r="G14" s="452"/>
      <c r="H14" s="452"/>
      <c r="J14" s="469"/>
      <c r="K14" s="469"/>
      <c r="L14" s="469"/>
      <c r="M14" s="469"/>
      <c r="N14" s="469"/>
      <c r="Q14" s="452"/>
      <c r="R14" s="452"/>
      <c r="S14" s="452"/>
      <c r="T14" s="452"/>
      <c r="V14" s="469"/>
      <c r="W14" s="469"/>
      <c r="X14" s="469"/>
      <c r="Y14" s="469"/>
      <c r="Z14" s="469"/>
    </row>
    <row r="15" spans="1:28" ht="15" customHeight="1">
      <c r="B15" s="630"/>
      <c r="C15" s="470"/>
      <c r="D15" s="452"/>
      <c r="E15" s="471"/>
      <c r="F15" s="471">
        <f>-F13*0.3*$C$15</f>
        <v>0</v>
      </c>
      <c r="G15" s="471">
        <f t="shared" ref="G15:AB15" si="7">-G13*0.3*$C$15</f>
        <v>0</v>
      </c>
      <c r="H15" s="471">
        <f t="shared" si="7"/>
        <v>0</v>
      </c>
      <c r="I15" s="471">
        <f t="shared" si="7"/>
        <v>0</v>
      </c>
      <c r="J15" s="471">
        <f t="shared" si="7"/>
        <v>0</v>
      </c>
      <c r="K15" s="471">
        <f t="shared" si="7"/>
        <v>0</v>
      </c>
      <c r="L15" s="471">
        <f t="shared" si="7"/>
        <v>0</v>
      </c>
      <c r="M15" s="471">
        <f t="shared" si="7"/>
        <v>0</v>
      </c>
      <c r="N15" s="471">
        <f t="shared" si="7"/>
        <v>0</v>
      </c>
      <c r="O15" s="471">
        <f t="shared" si="7"/>
        <v>0</v>
      </c>
      <c r="P15" s="471">
        <f t="shared" si="7"/>
        <v>0</v>
      </c>
      <c r="Q15" s="471">
        <f t="shared" si="7"/>
        <v>0</v>
      </c>
      <c r="R15" s="471">
        <f t="shared" si="7"/>
        <v>0</v>
      </c>
      <c r="S15" s="471">
        <f t="shared" si="7"/>
        <v>0</v>
      </c>
      <c r="T15" s="471">
        <f t="shared" si="7"/>
        <v>0</v>
      </c>
      <c r="U15" s="471">
        <f t="shared" si="7"/>
        <v>0</v>
      </c>
      <c r="V15" s="471">
        <f t="shared" si="7"/>
        <v>0</v>
      </c>
      <c r="W15" s="471">
        <f t="shared" si="7"/>
        <v>0</v>
      </c>
      <c r="X15" s="471">
        <f t="shared" si="7"/>
        <v>0</v>
      </c>
      <c r="Y15" s="471">
        <f t="shared" si="7"/>
        <v>0</v>
      </c>
      <c r="Z15" s="471">
        <f t="shared" si="7"/>
        <v>0</v>
      </c>
      <c r="AA15" s="471">
        <f t="shared" si="7"/>
        <v>0</v>
      </c>
      <c r="AB15" s="471">
        <f t="shared" si="7"/>
        <v>0</v>
      </c>
    </row>
    <row r="16" spans="1:28" ht="15" customHeight="1">
      <c r="B16" s="629" t="s">
        <v>1094</v>
      </c>
      <c r="C16" s="473">
        <v>1.7999999999999999E-2</v>
      </c>
      <c r="D16" s="472"/>
      <c r="E16" s="474"/>
      <c r="F16" s="474">
        <f>-F13*$C$16</f>
        <v>-91528.936537499991</v>
      </c>
      <c r="G16" s="474">
        <f t="shared" ref="G16:AB16" si="8">-G13*$C$16</f>
        <v>-305096.45512499998</v>
      </c>
      <c r="H16" s="474">
        <f t="shared" si="8"/>
        <v>-305096.45512499998</v>
      </c>
      <c r="I16" s="474">
        <f t="shared" si="8"/>
        <v>-305096.45512499998</v>
      </c>
      <c r="J16" s="474">
        <f t="shared" si="8"/>
        <v>-305096.45512499998</v>
      </c>
      <c r="K16" s="474">
        <f t="shared" si="8"/>
        <v>-305096.45512499998</v>
      </c>
      <c r="L16" s="474">
        <f t="shared" si="8"/>
        <v>-305096.45512499998</v>
      </c>
      <c r="M16" s="474">
        <f t="shared" si="8"/>
        <v>-305096.45512499998</v>
      </c>
      <c r="N16" s="474">
        <f t="shared" si="8"/>
        <v>-305096.45512499998</v>
      </c>
      <c r="O16" s="474">
        <f t="shared" si="8"/>
        <v>-305096.45512499998</v>
      </c>
      <c r="P16" s="474">
        <f t="shared" si="8"/>
        <v>-305096.45512499998</v>
      </c>
      <c r="Q16" s="474">
        <f t="shared" si="8"/>
        <v>-1168870.4999999998</v>
      </c>
      <c r="R16" s="474">
        <f t="shared" si="8"/>
        <v>-1168870.4999999998</v>
      </c>
      <c r="S16" s="474">
        <f t="shared" si="8"/>
        <v>-1168870.4999999998</v>
      </c>
      <c r="T16" s="474">
        <f t="shared" si="8"/>
        <v>-1168870.4999999998</v>
      </c>
      <c r="U16" s="474">
        <f t="shared" si="8"/>
        <v>-1168870.4999999998</v>
      </c>
      <c r="V16" s="474">
        <f t="shared" si="8"/>
        <v>-1168870.4999999998</v>
      </c>
      <c r="W16" s="474">
        <f t="shared" si="8"/>
        <v>-1168870.4999999998</v>
      </c>
      <c r="X16" s="474">
        <f t="shared" si="8"/>
        <v>-1168870.4999999998</v>
      </c>
      <c r="Y16" s="474">
        <f t="shared" si="8"/>
        <v>-1168870.4999999998</v>
      </c>
      <c r="Z16" s="474">
        <f t="shared" si="8"/>
        <v>-1168870.4999999998</v>
      </c>
      <c r="AA16" s="474">
        <f t="shared" si="8"/>
        <v>-1168870.4999999998</v>
      </c>
      <c r="AB16" s="474">
        <f t="shared" si="8"/>
        <v>-1168870.4999999998</v>
      </c>
    </row>
    <row r="17" spans="2:28" ht="15" customHeight="1">
      <c r="B17" s="452"/>
      <c r="C17" s="452"/>
      <c r="D17" s="452"/>
      <c r="E17" s="463">
        <f>SUM(E13:E16)</f>
        <v>0</v>
      </c>
      <c r="F17" s="463">
        <f t="shared" ref="F17:P17" si="9">SUM(F13:F16)</f>
        <v>4993411.9822125006</v>
      </c>
      <c r="G17" s="463">
        <f t="shared" si="9"/>
        <v>16644706.607375</v>
      </c>
      <c r="H17" s="463">
        <f t="shared" si="9"/>
        <v>16644706.607375</v>
      </c>
      <c r="I17" s="463">
        <f t="shared" si="9"/>
        <v>16644706.607375</v>
      </c>
      <c r="J17" s="463">
        <f t="shared" si="9"/>
        <v>16644706.607375</v>
      </c>
      <c r="K17" s="463">
        <f t="shared" si="9"/>
        <v>16644706.607375</v>
      </c>
      <c r="L17" s="463">
        <f t="shared" si="9"/>
        <v>16644706.607375</v>
      </c>
      <c r="M17" s="463">
        <f t="shared" si="9"/>
        <v>16644706.607375</v>
      </c>
      <c r="N17" s="463">
        <f t="shared" si="9"/>
        <v>16644706.607375</v>
      </c>
      <c r="O17" s="463">
        <f t="shared" si="9"/>
        <v>16644706.607375</v>
      </c>
      <c r="P17" s="463">
        <f t="shared" si="9"/>
        <v>16644706.607375</v>
      </c>
      <c r="Q17" s="463">
        <f>SUM(Q13:Q16)</f>
        <v>63768379.499999993</v>
      </c>
      <c r="R17" s="463">
        <f t="shared" ref="R17:AB17" si="10">SUM(R13:R16)</f>
        <v>63768379.499999993</v>
      </c>
      <c r="S17" s="463">
        <f t="shared" si="10"/>
        <v>63768379.499999993</v>
      </c>
      <c r="T17" s="463">
        <f t="shared" si="10"/>
        <v>63768379.499999993</v>
      </c>
      <c r="U17" s="463">
        <f t="shared" si="10"/>
        <v>63768379.499999993</v>
      </c>
      <c r="V17" s="463">
        <f t="shared" si="10"/>
        <v>63768379.499999993</v>
      </c>
      <c r="W17" s="463">
        <f t="shared" si="10"/>
        <v>63768379.499999993</v>
      </c>
      <c r="X17" s="463">
        <f t="shared" si="10"/>
        <v>63768379.499999993</v>
      </c>
      <c r="Y17" s="463">
        <f t="shared" si="10"/>
        <v>63768379.499999993</v>
      </c>
      <c r="Z17" s="463">
        <f t="shared" si="10"/>
        <v>63768379.499999993</v>
      </c>
      <c r="AA17" s="463">
        <f t="shared" si="10"/>
        <v>63768379.499999993</v>
      </c>
      <c r="AB17" s="463">
        <f t="shared" si="10"/>
        <v>63768379.499999993</v>
      </c>
    </row>
    <row r="18" spans="2:28" ht="15" customHeight="1">
      <c r="B18" s="452"/>
      <c r="C18" s="452"/>
      <c r="D18" s="452"/>
      <c r="E18" s="452"/>
      <c r="F18" s="452"/>
      <c r="G18" s="452"/>
      <c r="H18" s="452"/>
      <c r="J18" s="469"/>
      <c r="K18" s="469"/>
      <c r="L18" s="469"/>
      <c r="M18" s="469"/>
      <c r="N18" s="469"/>
      <c r="Q18" s="452"/>
      <c r="R18" s="452"/>
      <c r="S18" s="452"/>
      <c r="T18" s="452"/>
      <c r="V18" s="469"/>
      <c r="W18" s="469"/>
      <c r="X18" s="469"/>
      <c r="Y18" s="469"/>
      <c r="Z18" s="469"/>
    </row>
    <row r="19" spans="2:28" ht="15" customHeight="1">
      <c r="B19" s="452"/>
      <c r="C19" s="452"/>
      <c r="D19" s="452"/>
      <c r="E19" s="1727" t="s">
        <v>451</v>
      </c>
      <c r="F19" s="1727"/>
      <c r="G19" s="1727"/>
      <c r="H19" s="1727"/>
      <c r="I19" s="1727"/>
      <c r="J19" s="1727"/>
      <c r="K19" s="1727"/>
      <c r="L19" s="1727"/>
      <c r="M19" s="1727"/>
      <c r="N19" s="1727"/>
      <c r="O19" s="1727"/>
      <c r="P19" s="1727"/>
      <c r="Q19" s="1727" t="s">
        <v>632</v>
      </c>
      <c r="R19" s="1727"/>
      <c r="S19" s="1727"/>
      <c r="T19" s="1727"/>
      <c r="U19" s="1727"/>
      <c r="V19" s="1727"/>
      <c r="W19" s="1727"/>
      <c r="X19" s="1727"/>
      <c r="Y19" s="1727"/>
      <c r="Z19" s="1727"/>
      <c r="AA19" s="1727"/>
      <c r="AB19" s="1727"/>
    </row>
    <row r="20" spans="2:28" ht="15" customHeight="1">
      <c r="B20" s="451" t="s">
        <v>451</v>
      </c>
      <c r="C20" s="452"/>
      <c r="D20" s="475">
        <v>0</v>
      </c>
      <c r="E20" s="475">
        <v>1</v>
      </c>
      <c r="F20" s="475">
        <v>2</v>
      </c>
      <c r="G20" s="475">
        <v>3</v>
      </c>
      <c r="H20" s="475">
        <v>4</v>
      </c>
      <c r="I20" s="475">
        <v>5</v>
      </c>
      <c r="J20" s="475">
        <v>6</v>
      </c>
      <c r="K20" s="475">
        <v>7</v>
      </c>
      <c r="L20" s="475">
        <v>8</v>
      </c>
      <c r="M20" s="475">
        <v>9</v>
      </c>
      <c r="N20" s="475">
        <v>10</v>
      </c>
      <c r="O20" s="475">
        <v>11</v>
      </c>
      <c r="P20" s="475">
        <v>12</v>
      </c>
      <c r="Q20" s="475">
        <v>13</v>
      </c>
      <c r="R20" s="475">
        <v>14</v>
      </c>
      <c r="S20" s="475">
        <v>15</v>
      </c>
      <c r="T20" s="475">
        <v>16</v>
      </c>
      <c r="U20" s="475">
        <v>17</v>
      </c>
      <c r="V20" s="475">
        <v>18</v>
      </c>
      <c r="W20" s="475">
        <v>19</v>
      </c>
      <c r="X20" s="475">
        <v>20</v>
      </c>
      <c r="Y20" s="475">
        <v>21</v>
      </c>
      <c r="Z20" s="475">
        <v>22</v>
      </c>
      <c r="AA20" s="475">
        <v>23</v>
      </c>
      <c r="AB20" s="475">
        <v>24</v>
      </c>
    </row>
    <row r="21" spans="2:28" ht="15" customHeight="1">
      <c r="B21" s="476" t="s">
        <v>641</v>
      </c>
      <c r="C21" s="452"/>
      <c r="D21" s="452"/>
      <c r="E21" s="452"/>
      <c r="F21" s="452"/>
      <c r="G21" s="452"/>
      <c r="H21" s="452"/>
      <c r="J21" s="469"/>
      <c r="K21" s="469"/>
      <c r="L21" s="469"/>
      <c r="M21" s="469"/>
      <c r="N21" s="469"/>
      <c r="Q21" s="452"/>
      <c r="R21" s="452"/>
      <c r="S21" s="452"/>
      <c r="T21" s="452"/>
      <c r="V21" s="469"/>
      <c r="W21" s="469"/>
      <c r="X21" s="469"/>
      <c r="Y21" s="469"/>
      <c r="Z21" s="469"/>
    </row>
    <row r="22" spans="2:28" ht="15" customHeight="1">
      <c r="B22" s="452" t="s">
        <v>184</v>
      </c>
      <c r="C22" s="452"/>
      <c r="D22" s="452"/>
      <c r="E22" s="463">
        <f>E17</f>
        <v>0</v>
      </c>
      <c r="F22" s="463">
        <f t="shared" ref="F22:AB22" si="11">F17</f>
        <v>4993411.9822125006</v>
      </c>
      <c r="G22" s="463">
        <f t="shared" si="11"/>
        <v>16644706.607375</v>
      </c>
      <c r="H22" s="463">
        <f t="shared" si="11"/>
        <v>16644706.607375</v>
      </c>
      <c r="I22" s="463">
        <f t="shared" si="11"/>
        <v>16644706.607375</v>
      </c>
      <c r="J22" s="463">
        <f t="shared" si="11"/>
        <v>16644706.607375</v>
      </c>
      <c r="K22" s="463">
        <f t="shared" si="11"/>
        <v>16644706.607375</v>
      </c>
      <c r="L22" s="463">
        <f t="shared" si="11"/>
        <v>16644706.607375</v>
      </c>
      <c r="M22" s="463">
        <f t="shared" si="11"/>
        <v>16644706.607375</v>
      </c>
      <c r="N22" s="463">
        <f t="shared" si="11"/>
        <v>16644706.607375</v>
      </c>
      <c r="O22" s="463">
        <f t="shared" si="11"/>
        <v>16644706.607375</v>
      </c>
      <c r="P22" s="463">
        <f t="shared" si="11"/>
        <v>16644706.607375</v>
      </c>
      <c r="Q22" s="463">
        <f t="shared" si="11"/>
        <v>63768379.499999993</v>
      </c>
      <c r="R22" s="463">
        <f t="shared" si="11"/>
        <v>63768379.499999993</v>
      </c>
      <c r="S22" s="463">
        <f t="shared" si="11"/>
        <v>63768379.499999993</v>
      </c>
      <c r="T22" s="463">
        <f t="shared" si="11"/>
        <v>63768379.499999993</v>
      </c>
      <c r="U22" s="463">
        <f t="shared" si="11"/>
        <v>63768379.499999993</v>
      </c>
      <c r="V22" s="463">
        <f t="shared" si="11"/>
        <v>63768379.499999993</v>
      </c>
      <c r="W22" s="463">
        <f t="shared" si="11"/>
        <v>63768379.499999993</v>
      </c>
      <c r="X22" s="463">
        <f t="shared" si="11"/>
        <v>63768379.499999993</v>
      </c>
      <c r="Y22" s="463">
        <f t="shared" si="11"/>
        <v>63768379.499999993</v>
      </c>
      <c r="Z22" s="463">
        <f t="shared" si="11"/>
        <v>63768379.499999993</v>
      </c>
      <c r="AA22" s="463">
        <f t="shared" si="11"/>
        <v>63768379.499999993</v>
      </c>
      <c r="AB22" s="463">
        <f t="shared" si="11"/>
        <v>63768379.499999993</v>
      </c>
    </row>
    <row r="23" spans="2:28" ht="15" customHeight="1">
      <c r="B23" s="452"/>
      <c r="C23" s="452"/>
      <c r="D23" s="452"/>
      <c r="E23" s="463"/>
      <c r="F23" s="463"/>
      <c r="G23" s="463"/>
      <c r="H23" s="463"/>
      <c r="I23" s="463"/>
      <c r="J23" s="463"/>
      <c r="K23" s="463"/>
      <c r="L23" s="463"/>
      <c r="M23" s="463"/>
      <c r="N23" s="463"/>
      <c r="O23" s="463"/>
      <c r="P23" s="463"/>
      <c r="Q23" s="463"/>
      <c r="R23" s="463"/>
      <c r="S23" s="463"/>
      <c r="T23" s="463"/>
      <c r="U23" s="463"/>
      <c r="V23" s="463"/>
      <c r="W23" s="463"/>
      <c r="X23" s="463"/>
      <c r="Y23" s="463"/>
      <c r="Z23" s="463"/>
      <c r="AA23" s="463"/>
      <c r="AB23" s="463"/>
    </row>
    <row r="24" spans="2:28" s="479" customFormat="1" ht="15" customHeight="1">
      <c r="B24" s="458" t="s">
        <v>642</v>
      </c>
      <c r="C24" s="707">
        <v>60000</v>
      </c>
      <c r="D24" s="478"/>
      <c r="E24" s="478">
        <f>$C$24/12</f>
        <v>5000</v>
      </c>
      <c r="F24" s="478">
        <f t="shared" ref="F24:AB24" si="12">$C$24/12</f>
        <v>5000</v>
      </c>
      <c r="G24" s="478">
        <f t="shared" si="12"/>
        <v>5000</v>
      </c>
      <c r="H24" s="478">
        <f t="shared" si="12"/>
        <v>5000</v>
      </c>
      <c r="I24" s="478">
        <f t="shared" si="12"/>
        <v>5000</v>
      </c>
      <c r="J24" s="478">
        <f t="shared" si="12"/>
        <v>5000</v>
      </c>
      <c r="K24" s="478">
        <f t="shared" si="12"/>
        <v>5000</v>
      </c>
      <c r="L24" s="478">
        <f t="shared" si="12"/>
        <v>5000</v>
      </c>
      <c r="M24" s="478">
        <f t="shared" si="12"/>
        <v>5000</v>
      </c>
      <c r="N24" s="478">
        <f t="shared" si="12"/>
        <v>5000</v>
      </c>
      <c r="O24" s="478">
        <f t="shared" si="12"/>
        <v>5000</v>
      </c>
      <c r="P24" s="478">
        <f t="shared" si="12"/>
        <v>5000</v>
      </c>
      <c r="Q24" s="478">
        <f>$C$24/12</f>
        <v>5000</v>
      </c>
      <c r="R24" s="478">
        <f t="shared" si="12"/>
        <v>5000</v>
      </c>
      <c r="S24" s="478">
        <f t="shared" si="12"/>
        <v>5000</v>
      </c>
      <c r="T24" s="478">
        <f t="shared" si="12"/>
        <v>5000</v>
      </c>
      <c r="U24" s="478">
        <f t="shared" si="12"/>
        <v>5000</v>
      </c>
      <c r="V24" s="478">
        <f t="shared" si="12"/>
        <v>5000</v>
      </c>
      <c r="W24" s="478">
        <f t="shared" si="12"/>
        <v>5000</v>
      </c>
      <c r="X24" s="478">
        <f t="shared" si="12"/>
        <v>5000</v>
      </c>
      <c r="Y24" s="478">
        <f t="shared" si="12"/>
        <v>5000</v>
      </c>
      <c r="Z24" s="478">
        <f t="shared" si="12"/>
        <v>5000</v>
      </c>
      <c r="AA24" s="478">
        <f t="shared" si="12"/>
        <v>5000</v>
      </c>
      <c r="AB24" s="478">
        <f t="shared" si="12"/>
        <v>5000</v>
      </c>
    </row>
    <row r="25" spans="2:28" ht="15" customHeight="1">
      <c r="B25" s="476" t="s">
        <v>643</v>
      </c>
      <c r="C25" s="452"/>
      <c r="D25" s="452"/>
      <c r="E25" s="452"/>
      <c r="F25" s="452"/>
      <c r="G25" s="452"/>
      <c r="H25" s="452"/>
      <c r="J25" s="469"/>
      <c r="K25" s="469"/>
      <c r="L25" s="469"/>
      <c r="M25" s="469"/>
      <c r="N25" s="469"/>
      <c r="Q25" s="452"/>
      <c r="R25" s="452"/>
      <c r="S25" s="452"/>
      <c r="T25" s="452"/>
      <c r="V25" s="469"/>
      <c r="W25" s="469"/>
      <c r="X25" s="469"/>
      <c r="Y25" s="469"/>
      <c r="Z25" s="469"/>
    </row>
    <row r="26" spans="2:28" ht="15" customHeight="1">
      <c r="B26" s="480" t="s">
        <v>644</v>
      </c>
      <c r="C26" s="452"/>
      <c r="D26" s="452"/>
      <c r="E26" s="452"/>
      <c r="F26" s="452"/>
      <c r="G26" s="452"/>
      <c r="H26" s="452"/>
      <c r="J26" s="469"/>
      <c r="K26" s="469"/>
      <c r="L26" s="469"/>
      <c r="M26" s="469"/>
      <c r="N26" s="469"/>
      <c r="Q26" s="452"/>
      <c r="R26" s="452"/>
      <c r="S26" s="452"/>
      <c r="T26" s="452"/>
      <c r="V26" s="469"/>
      <c r="W26" s="469"/>
      <c r="X26" s="469"/>
      <c r="Y26" s="469"/>
      <c r="Z26" s="469"/>
    </row>
    <row r="27" spans="2:28">
      <c r="B27" s="452" t="s">
        <v>598</v>
      </c>
      <c r="C27" s="450"/>
      <c r="D27" s="452"/>
      <c r="E27" s="471">
        <f>-$C27*$E$24</f>
        <v>0</v>
      </c>
      <c r="F27" s="471">
        <f t="shared" ref="F27:P27" si="13">-$C27*F24</f>
        <v>0</v>
      </c>
      <c r="G27" s="471">
        <f t="shared" si="13"/>
        <v>0</v>
      </c>
      <c r="H27" s="471">
        <f t="shared" si="13"/>
        <v>0</v>
      </c>
      <c r="I27" s="471">
        <f t="shared" si="13"/>
        <v>0</v>
      </c>
      <c r="J27" s="471">
        <f t="shared" si="13"/>
        <v>0</v>
      </c>
      <c r="K27" s="471">
        <f t="shared" si="13"/>
        <v>0</v>
      </c>
      <c r="L27" s="471">
        <f t="shared" si="13"/>
        <v>0</v>
      </c>
      <c r="M27" s="471">
        <f t="shared" si="13"/>
        <v>0</v>
      </c>
      <c r="N27" s="471">
        <f t="shared" si="13"/>
        <v>0</v>
      </c>
      <c r="O27" s="471">
        <f t="shared" si="13"/>
        <v>0</v>
      </c>
      <c r="P27" s="471">
        <f t="shared" si="13"/>
        <v>0</v>
      </c>
      <c r="Q27" s="471">
        <f>-$C27*Q24</f>
        <v>0</v>
      </c>
      <c r="R27" s="471">
        <f t="shared" ref="R27:AB27" si="14">-$C27*R24</f>
        <v>0</v>
      </c>
      <c r="S27" s="471">
        <f t="shared" si="14"/>
        <v>0</v>
      </c>
      <c r="T27" s="471">
        <f t="shared" si="14"/>
        <v>0</v>
      </c>
      <c r="U27" s="471">
        <f t="shared" si="14"/>
        <v>0</v>
      </c>
      <c r="V27" s="471">
        <f t="shared" si="14"/>
        <v>0</v>
      </c>
      <c r="W27" s="471">
        <f t="shared" si="14"/>
        <v>0</v>
      </c>
      <c r="X27" s="471">
        <f t="shared" si="14"/>
        <v>0</v>
      </c>
      <c r="Y27" s="471">
        <f t="shared" si="14"/>
        <v>0</v>
      </c>
      <c r="Z27" s="471">
        <f t="shared" si="14"/>
        <v>0</v>
      </c>
      <c r="AA27" s="471">
        <f t="shared" si="14"/>
        <v>0</v>
      </c>
      <c r="AB27" s="471">
        <f t="shared" si="14"/>
        <v>0</v>
      </c>
    </row>
    <row r="28" spans="2:28">
      <c r="B28" s="452" t="s">
        <v>645</v>
      </c>
      <c r="C28" s="450"/>
      <c r="D28" s="452"/>
      <c r="E28" s="471">
        <f>-$C28*$E$24</f>
        <v>0</v>
      </c>
      <c r="F28" s="471">
        <f t="shared" ref="F28:P28" si="15">-$C28*F24</f>
        <v>0</v>
      </c>
      <c r="G28" s="471">
        <f t="shared" si="15"/>
        <v>0</v>
      </c>
      <c r="H28" s="471">
        <f t="shared" si="15"/>
        <v>0</v>
      </c>
      <c r="I28" s="471">
        <f t="shared" si="15"/>
        <v>0</v>
      </c>
      <c r="J28" s="471">
        <f t="shared" si="15"/>
        <v>0</v>
      </c>
      <c r="K28" s="471">
        <f t="shared" si="15"/>
        <v>0</v>
      </c>
      <c r="L28" s="471">
        <f t="shared" si="15"/>
        <v>0</v>
      </c>
      <c r="M28" s="471">
        <f t="shared" si="15"/>
        <v>0</v>
      </c>
      <c r="N28" s="471">
        <f t="shared" si="15"/>
        <v>0</v>
      </c>
      <c r="O28" s="471">
        <f t="shared" si="15"/>
        <v>0</v>
      </c>
      <c r="P28" s="471">
        <f t="shared" si="15"/>
        <v>0</v>
      </c>
      <c r="Q28" s="471">
        <f>-$C28*Q24</f>
        <v>0</v>
      </c>
      <c r="R28" s="471">
        <f t="shared" ref="R28:AB28" si="16">-$C28*R24</f>
        <v>0</v>
      </c>
      <c r="S28" s="471">
        <f t="shared" si="16"/>
        <v>0</v>
      </c>
      <c r="T28" s="471">
        <f t="shared" si="16"/>
        <v>0</v>
      </c>
      <c r="U28" s="471">
        <f t="shared" si="16"/>
        <v>0</v>
      </c>
      <c r="V28" s="471">
        <f t="shared" si="16"/>
        <v>0</v>
      </c>
      <c r="W28" s="471">
        <f t="shared" si="16"/>
        <v>0</v>
      </c>
      <c r="X28" s="471">
        <f t="shared" si="16"/>
        <v>0</v>
      </c>
      <c r="Y28" s="471">
        <f t="shared" si="16"/>
        <v>0</v>
      </c>
      <c r="Z28" s="471">
        <f t="shared" si="16"/>
        <v>0</v>
      </c>
      <c r="AA28" s="471">
        <f t="shared" si="16"/>
        <v>0</v>
      </c>
      <c r="AB28" s="471">
        <f t="shared" si="16"/>
        <v>0</v>
      </c>
    </row>
    <row r="29" spans="2:28">
      <c r="B29" s="452" t="s">
        <v>600</v>
      </c>
      <c r="C29" s="450"/>
      <c r="D29" s="452"/>
      <c r="E29" s="471">
        <f>-$C29*$E$24</f>
        <v>0</v>
      </c>
      <c r="F29" s="471">
        <f t="shared" ref="F29:P29" si="17">-$C29*F24</f>
        <v>0</v>
      </c>
      <c r="G29" s="471">
        <f t="shared" si="17"/>
        <v>0</v>
      </c>
      <c r="H29" s="471">
        <f t="shared" si="17"/>
        <v>0</v>
      </c>
      <c r="I29" s="471">
        <f t="shared" si="17"/>
        <v>0</v>
      </c>
      <c r="J29" s="471">
        <f t="shared" si="17"/>
        <v>0</v>
      </c>
      <c r="K29" s="471">
        <f t="shared" si="17"/>
        <v>0</v>
      </c>
      <c r="L29" s="471">
        <f t="shared" si="17"/>
        <v>0</v>
      </c>
      <c r="M29" s="471">
        <f t="shared" si="17"/>
        <v>0</v>
      </c>
      <c r="N29" s="471">
        <f t="shared" si="17"/>
        <v>0</v>
      </c>
      <c r="O29" s="471">
        <f t="shared" si="17"/>
        <v>0</v>
      </c>
      <c r="P29" s="471">
        <f t="shared" si="17"/>
        <v>0</v>
      </c>
      <c r="Q29" s="471">
        <f>-$C29*Q24</f>
        <v>0</v>
      </c>
      <c r="R29" s="471">
        <f t="shared" ref="R29:AB29" si="18">-$C29*R24</f>
        <v>0</v>
      </c>
      <c r="S29" s="471">
        <f t="shared" si="18"/>
        <v>0</v>
      </c>
      <c r="T29" s="471">
        <f t="shared" si="18"/>
        <v>0</v>
      </c>
      <c r="U29" s="471">
        <f t="shared" si="18"/>
        <v>0</v>
      </c>
      <c r="V29" s="471">
        <f t="shared" si="18"/>
        <v>0</v>
      </c>
      <c r="W29" s="471">
        <f t="shared" si="18"/>
        <v>0</v>
      </c>
      <c r="X29" s="471">
        <f t="shared" si="18"/>
        <v>0</v>
      </c>
      <c r="Y29" s="471">
        <f t="shared" si="18"/>
        <v>0</v>
      </c>
      <c r="Z29" s="471">
        <f t="shared" si="18"/>
        <v>0</v>
      </c>
      <c r="AA29" s="471">
        <f t="shared" si="18"/>
        <v>0</v>
      </c>
      <c r="AB29" s="471">
        <f t="shared" si="18"/>
        <v>0</v>
      </c>
    </row>
    <row r="30" spans="2:28">
      <c r="B30" s="452" t="s">
        <v>181</v>
      </c>
      <c r="C30" s="450"/>
      <c r="D30" s="452"/>
      <c r="E30" s="471">
        <f>-$C30*$E$24</f>
        <v>0</v>
      </c>
      <c r="F30" s="471">
        <f t="shared" ref="F30:T30" si="19">-$C30*$E$24</f>
        <v>0</v>
      </c>
      <c r="G30" s="471">
        <f t="shared" si="19"/>
        <v>0</v>
      </c>
      <c r="H30" s="471">
        <f t="shared" si="19"/>
        <v>0</v>
      </c>
      <c r="I30" s="471">
        <f t="shared" si="19"/>
        <v>0</v>
      </c>
      <c r="J30" s="471">
        <f t="shared" si="19"/>
        <v>0</v>
      </c>
      <c r="K30" s="471">
        <f t="shared" si="19"/>
        <v>0</v>
      </c>
      <c r="L30" s="471">
        <f t="shared" si="19"/>
        <v>0</v>
      </c>
      <c r="M30" s="471">
        <f t="shared" si="19"/>
        <v>0</v>
      </c>
      <c r="N30" s="471">
        <f t="shared" si="19"/>
        <v>0</v>
      </c>
      <c r="O30" s="471">
        <f t="shared" si="19"/>
        <v>0</v>
      </c>
      <c r="P30" s="471">
        <f t="shared" si="19"/>
        <v>0</v>
      </c>
      <c r="Q30" s="471">
        <f t="shared" si="19"/>
        <v>0</v>
      </c>
      <c r="R30" s="471">
        <f t="shared" si="19"/>
        <v>0</v>
      </c>
      <c r="S30" s="471">
        <f t="shared" si="19"/>
        <v>0</v>
      </c>
      <c r="T30" s="471">
        <f t="shared" si="19"/>
        <v>0</v>
      </c>
      <c r="U30" s="471">
        <f t="shared" ref="U30:AB30" si="20">-$C30*$E$24</f>
        <v>0</v>
      </c>
      <c r="V30" s="471">
        <f t="shared" si="20"/>
        <v>0</v>
      </c>
      <c r="W30" s="471">
        <f t="shared" si="20"/>
        <v>0</v>
      </c>
      <c r="X30" s="471">
        <f t="shared" si="20"/>
        <v>0</v>
      </c>
      <c r="Y30" s="471">
        <f t="shared" si="20"/>
        <v>0</v>
      </c>
      <c r="Z30" s="471">
        <f t="shared" si="20"/>
        <v>0</v>
      </c>
      <c r="AA30" s="471">
        <f t="shared" si="20"/>
        <v>0</v>
      </c>
      <c r="AB30" s="471">
        <f t="shared" si="20"/>
        <v>0</v>
      </c>
    </row>
    <row r="31" spans="2:28">
      <c r="B31" s="452"/>
      <c r="C31" s="452"/>
      <c r="D31" s="452"/>
      <c r="E31" s="452"/>
      <c r="F31" s="452"/>
      <c r="G31" s="452"/>
      <c r="H31" s="452"/>
      <c r="Q31" s="452"/>
      <c r="R31" s="452"/>
      <c r="S31" s="452"/>
      <c r="T31" s="452"/>
    </row>
    <row r="32" spans="2:28">
      <c r="B32" s="480" t="s">
        <v>646</v>
      </c>
      <c r="C32" s="452"/>
      <c r="D32" s="452"/>
      <c r="E32" s="452"/>
      <c r="F32" s="452"/>
      <c r="G32" s="452"/>
      <c r="H32" s="452"/>
      <c r="J32" s="1219"/>
      <c r="Q32" s="452"/>
      <c r="R32" s="452"/>
      <c r="S32" s="452"/>
      <c r="T32" s="452"/>
    </row>
    <row r="33" spans="2:28">
      <c r="B33" s="452"/>
      <c r="C33" s="450">
        <v>0</v>
      </c>
      <c r="D33" s="452"/>
      <c r="E33" s="471">
        <f>-$C33*E24</f>
        <v>0</v>
      </c>
      <c r="F33" s="471">
        <f t="shared" ref="F33:P33" si="21">-$C33*F24</f>
        <v>0</v>
      </c>
      <c r="G33" s="471">
        <f t="shared" si="21"/>
        <v>0</v>
      </c>
      <c r="H33" s="471">
        <f t="shared" si="21"/>
        <v>0</v>
      </c>
      <c r="I33" s="471">
        <f t="shared" si="21"/>
        <v>0</v>
      </c>
      <c r="J33" s="471">
        <f t="shared" si="21"/>
        <v>0</v>
      </c>
      <c r="K33" s="471">
        <f t="shared" si="21"/>
        <v>0</v>
      </c>
      <c r="L33" s="471">
        <f t="shared" si="21"/>
        <v>0</v>
      </c>
      <c r="M33" s="471">
        <f t="shared" si="21"/>
        <v>0</v>
      </c>
      <c r="N33" s="471">
        <f t="shared" si="21"/>
        <v>0</v>
      </c>
      <c r="O33" s="471">
        <f t="shared" si="21"/>
        <v>0</v>
      </c>
      <c r="P33" s="471">
        <f t="shared" si="21"/>
        <v>0</v>
      </c>
      <c r="Q33" s="471">
        <f>-$C33*Q24</f>
        <v>0</v>
      </c>
      <c r="R33" s="471">
        <f t="shared" ref="R33:AB33" si="22">-$C33*R24</f>
        <v>0</v>
      </c>
      <c r="S33" s="471">
        <f t="shared" si="22"/>
        <v>0</v>
      </c>
      <c r="T33" s="471">
        <f t="shared" si="22"/>
        <v>0</v>
      </c>
      <c r="U33" s="471">
        <f t="shared" si="22"/>
        <v>0</v>
      </c>
      <c r="V33" s="471">
        <f t="shared" si="22"/>
        <v>0</v>
      </c>
      <c r="W33" s="471">
        <f t="shared" si="22"/>
        <v>0</v>
      </c>
      <c r="X33" s="471">
        <f t="shared" si="22"/>
        <v>0</v>
      </c>
      <c r="Y33" s="471">
        <f t="shared" si="22"/>
        <v>0</v>
      </c>
      <c r="Z33" s="471">
        <f t="shared" si="22"/>
        <v>0</v>
      </c>
      <c r="AA33" s="471">
        <f t="shared" si="22"/>
        <v>0</v>
      </c>
      <c r="AB33" s="471">
        <f t="shared" si="22"/>
        <v>0</v>
      </c>
    </row>
    <row r="34" spans="2:28">
      <c r="B34" s="384" t="s">
        <v>1208</v>
      </c>
      <c r="C34" s="450">
        <v>400</v>
      </c>
      <c r="D34" s="452"/>
      <c r="E34" s="452"/>
      <c r="F34" s="471">
        <f>-$C34*F24</f>
        <v>-2000000</v>
      </c>
      <c r="G34" s="471">
        <f t="shared" ref="G34:AB34" si="23">-$C34*G24</f>
        <v>-2000000</v>
      </c>
      <c r="H34" s="471">
        <f t="shared" si="23"/>
        <v>-2000000</v>
      </c>
      <c r="I34" s="471">
        <f t="shared" si="23"/>
        <v>-2000000</v>
      </c>
      <c r="J34" s="471">
        <f t="shared" si="23"/>
        <v>-2000000</v>
      </c>
      <c r="K34" s="471">
        <f t="shared" si="23"/>
        <v>-2000000</v>
      </c>
      <c r="L34" s="471">
        <f t="shared" si="23"/>
        <v>-2000000</v>
      </c>
      <c r="M34" s="471">
        <f t="shared" si="23"/>
        <v>-2000000</v>
      </c>
      <c r="N34" s="471">
        <f t="shared" si="23"/>
        <v>-2000000</v>
      </c>
      <c r="O34" s="471">
        <f t="shared" si="23"/>
        <v>-2000000</v>
      </c>
      <c r="P34" s="471">
        <f t="shared" si="23"/>
        <v>-2000000</v>
      </c>
      <c r="Q34" s="471">
        <f t="shared" si="23"/>
        <v>-2000000</v>
      </c>
      <c r="R34" s="471">
        <f t="shared" si="23"/>
        <v>-2000000</v>
      </c>
      <c r="S34" s="471">
        <f t="shared" si="23"/>
        <v>-2000000</v>
      </c>
      <c r="T34" s="471">
        <f t="shared" si="23"/>
        <v>-2000000</v>
      </c>
      <c r="U34" s="471">
        <f t="shared" si="23"/>
        <v>-2000000</v>
      </c>
      <c r="V34" s="471">
        <f t="shared" si="23"/>
        <v>-2000000</v>
      </c>
      <c r="W34" s="471">
        <f t="shared" si="23"/>
        <v>-2000000</v>
      </c>
      <c r="X34" s="471">
        <f t="shared" si="23"/>
        <v>-2000000</v>
      </c>
      <c r="Y34" s="471">
        <f t="shared" si="23"/>
        <v>-2000000</v>
      </c>
      <c r="Z34" s="471">
        <f t="shared" si="23"/>
        <v>-2000000</v>
      </c>
      <c r="AA34" s="471">
        <f t="shared" si="23"/>
        <v>-2000000</v>
      </c>
      <c r="AB34" s="471">
        <f t="shared" si="23"/>
        <v>-2000000</v>
      </c>
    </row>
    <row r="35" spans="2:28">
      <c r="B35" s="452" t="s">
        <v>1209</v>
      </c>
      <c r="C35" s="450">
        <v>1480</v>
      </c>
      <c r="D35" s="452"/>
      <c r="E35" s="471">
        <f t="shared" ref="E35:AB35" si="24">-$C35*E24</f>
        <v>-7400000</v>
      </c>
      <c r="F35" s="471">
        <f t="shared" si="24"/>
        <v>-7400000</v>
      </c>
      <c r="G35" s="471">
        <f t="shared" si="24"/>
        <v>-7400000</v>
      </c>
      <c r="H35" s="471">
        <f t="shared" si="24"/>
        <v>-7400000</v>
      </c>
      <c r="I35" s="471">
        <f t="shared" si="24"/>
        <v>-7400000</v>
      </c>
      <c r="J35" s="471">
        <f t="shared" si="24"/>
        <v>-7400000</v>
      </c>
      <c r="K35" s="471">
        <f t="shared" si="24"/>
        <v>-7400000</v>
      </c>
      <c r="L35" s="471">
        <f t="shared" si="24"/>
        <v>-7400000</v>
      </c>
      <c r="M35" s="471">
        <f t="shared" si="24"/>
        <v>-7400000</v>
      </c>
      <c r="N35" s="471">
        <f t="shared" si="24"/>
        <v>-7400000</v>
      </c>
      <c r="O35" s="471">
        <f t="shared" si="24"/>
        <v>-7400000</v>
      </c>
      <c r="P35" s="471">
        <f t="shared" si="24"/>
        <v>-7400000</v>
      </c>
      <c r="Q35" s="471">
        <f t="shared" si="24"/>
        <v>-7400000</v>
      </c>
      <c r="R35" s="471">
        <f t="shared" si="24"/>
        <v>-7400000</v>
      </c>
      <c r="S35" s="471">
        <f t="shared" si="24"/>
        <v>-7400000</v>
      </c>
      <c r="T35" s="471">
        <f t="shared" si="24"/>
        <v>-7400000</v>
      </c>
      <c r="U35" s="471">
        <f t="shared" si="24"/>
        <v>-7400000</v>
      </c>
      <c r="V35" s="471">
        <f t="shared" si="24"/>
        <v>-7400000</v>
      </c>
      <c r="W35" s="471">
        <f t="shared" si="24"/>
        <v>-7400000</v>
      </c>
      <c r="X35" s="471">
        <f t="shared" si="24"/>
        <v>-7400000</v>
      </c>
      <c r="Y35" s="471">
        <f t="shared" si="24"/>
        <v>-7400000</v>
      </c>
      <c r="Z35" s="471">
        <f t="shared" si="24"/>
        <v>-7400000</v>
      </c>
      <c r="AA35" s="471">
        <f t="shared" si="24"/>
        <v>-7400000</v>
      </c>
      <c r="AB35" s="471">
        <f t="shared" si="24"/>
        <v>-7400000</v>
      </c>
    </row>
    <row r="36" spans="2:28">
      <c r="B36" s="452" t="s">
        <v>1210</v>
      </c>
      <c r="C36" s="450">
        <v>1600</v>
      </c>
      <c r="D36" s="452"/>
      <c r="E36" s="452"/>
      <c r="F36" s="471">
        <f t="shared" ref="F36:AB36" si="25">-$C36*F24</f>
        <v>-8000000</v>
      </c>
      <c r="G36" s="471">
        <f t="shared" si="25"/>
        <v>-8000000</v>
      </c>
      <c r="H36" s="471">
        <f t="shared" si="25"/>
        <v>-8000000</v>
      </c>
      <c r="I36" s="471">
        <f t="shared" si="25"/>
        <v>-8000000</v>
      </c>
      <c r="J36" s="471">
        <f t="shared" si="25"/>
        <v>-8000000</v>
      </c>
      <c r="K36" s="471">
        <f t="shared" si="25"/>
        <v>-8000000</v>
      </c>
      <c r="L36" s="471">
        <f t="shared" si="25"/>
        <v>-8000000</v>
      </c>
      <c r="M36" s="471">
        <f t="shared" si="25"/>
        <v>-8000000</v>
      </c>
      <c r="N36" s="471">
        <f t="shared" si="25"/>
        <v>-8000000</v>
      </c>
      <c r="O36" s="471">
        <f t="shared" si="25"/>
        <v>-8000000</v>
      </c>
      <c r="P36" s="471">
        <f t="shared" si="25"/>
        <v>-8000000</v>
      </c>
      <c r="Q36" s="471">
        <f t="shared" si="25"/>
        <v>-8000000</v>
      </c>
      <c r="R36" s="471">
        <f t="shared" si="25"/>
        <v>-8000000</v>
      </c>
      <c r="S36" s="471">
        <f t="shared" si="25"/>
        <v>-8000000</v>
      </c>
      <c r="T36" s="471">
        <f t="shared" si="25"/>
        <v>-8000000</v>
      </c>
      <c r="U36" s="471">
        <f t="shared" si="25"/>
        <v>-8000000</v>
      </c>
      <c r="V36" s="471">
        <f t="shared" si="25"/>
        <v>-8000000</v>
      </c>
      <c r="W36" s="471">
        <f t="shared" si="25"/>
        <v>-8000000</v>
      </c>
      <c r="X36" s="471">
        <f t="shared" si="25"/>
        <v>-8000000</v>
      </c>
      <c r="Y36" s="471">
        <f t="shared" si="25"/>
        <v>-8000000</v>
      </c>
      <c r="Z36" s="471">
        <f t="shared" si="25"/>
        <v>-8000000</v>
      </c>
      <c r="AA36" s="471">
        <f t="shared" si="25"/>
        <v>-8000000</v>
      </c>
      <c r="AB36" s="471">
        <f t="shared" si="25"/>
        <v>-8000000</v>
      </c>
    </row>
    <row r="37" spans="2:28">
      <c r="B37" s="452" t="s">
        <v>1211</v>
      </c>
      <c r="C37" s="450">
        <v>135</v>
      </c>
      <c r="D37" s="452"/>
      <c r="E37" s="471">
        <f>-$C37*E24</f>
        <v>-675000</v>
      </c>
      <c r="F37" s="471">
        <f>-$C37*F24</f>
        <v>-675000</v>
      </c>
      <c r="G37" s="471">
        <f t="shared" ref="G37:AB37" si="26">-$C37*G24</f>
        <v>-675000</v>
      </c>
      <c r="H37" s="471">
        <f t="shared" si="26"/>
        <v>-675000</v>
      </c>
      <c r="I37" s="471">
        <f t="shared" si="26"/>
        <v>-675000</v>
      </c>
      <c r="J37" s="471">
        <f t="shared" si="26"/>
        <v>-675000</v>
      </c>
      <c r="K37" s="471">
        <f t="shared" si="26"/>
        <v>-675000</v>
      </c>
      <c r="L37" s="471">
        <f t="shared" si="26"/>
        <v>-675000</v>
      </c>
      <c r="M37" s="471">
        <f t="shared" si="26"/>
        <v>-675000</v>
      </c>
      <c r="N37" s="471">
        <f t="shared" si="26"/>
        <v>-675000</v>
      </c>
      <c r="O37" s="471">
        <f t="shared" si="26"/>
        <v>-675000</v>
      </c>
      <c r="P37" s="471">
        <f t="shared" si="26"/>
        <v>-675000</v>
      </c>
      <c r="Q37" s="471">
        <f t="shared" si="26"/>
        <v>-675000</v>
      </c>
      <c r="R37" s="471">
        <f t="shared" si="26"/>
        <v>-675000</v>
      </c>
      <c r="S37" s="471">
        <f t="shared" si="26"/>
        <v>-675000</v>
      </c>
      <c r="T37" s="471">
        <f t="shared" si="26"/>
        <v>-675000</v>
      </c>
      <c r="U37" s="471">
        <f t="shared" si="26"/>
        <v>-675000</v>
      </c>
      <c r="V37" s="471">
        <f t="shared" si="26"/>
        <v>-675000</v>
      </c>
      <c r="W37" s="471">
        <f t="shared" si="26"/>
        <v>-675000</v>
      </c>
      <c r="X37" s="471">
        <f t="shared" si="26"/>
        <v>-675000</v>
      </c>
      <c r="Y37" s="471">
        <f t="shared" si="26"/>
        <v>-675000</v>
      </c>
      <c r="Z37" s="471">
        <f t="shared" si="26"/>
        <v>-675000</v>
      </c>
      <c r="AA37" s="471">
        <f t="shared" si="26"/>
        <v>-675000</v>
      </c>
      <c r="AB37" s="471">
        <f t="shared" si="26"/>
        <v>-675000</v>
      </c>
    </row>
    <row r="38" spans="2:28">
      <c r="B38" s="452"/>
      <c r="C38" s="450">
        <v>0</v>
      </c>
      <c r="D38" s="452"/>
      <c r="E38" s="452"/>
      <c r="F38" s="452"/>
      <c r="G38" s="452"/>
      <c r="H38" s="471">
        <f t="shared" ref="H38:AB38" si="27">-$C38*H24</f>
        <v>0</v>
      </c>
      <c r="I38" s="471">
        <f t="shared" si="27"/>
        <v>0</v>
      </c>
      <c r="J38" s="471">
        <f t="shared" si="27"/>
        <v>0</v>
      </c>
      <c r="K38" s="471">
        <f t="shared" si="27"/>
        <v>0</v>
      </c>
      <c r="L38" s="471">
        <f t="shared" si="27"/>
        <v>0</v>
      </c>
      <c r="M38" s="471">
        <f t="shared" si="27"/>
        <v>0</v>
      </c>
      <c r="N38" s="471">
        <f t="shared" si="27"/>
        <v>0</v>
      </c>
      <c r="O38" s="471">
        <f t="shared" si="27"/>
        <v>0</v>
      </c>
      <c r="P38" s="471">
        <f t="shared" si="27"/>
        <v>0</v>
      </c>
      <c r="Q38" s="471">
        <f t="shared" si="27"/>
        <v>0</v>
      </c>
      <c r="R38" s="471">
        <f t="shared" si="27"/>
        <v>0</v>
      </c>
      <c r="S38" s="471">
        <f t="shared" si="27"/>
        <v>0</v>
      </c>
      <c r="T38" s="471">
        <f t="shared" si="27"/>
        <v>0</v>
      </c>
      <c r="U38" s="471">
        <f t="shared" si="27"/>
        <v>0</v>
      </c>
      <c r="V38" s="471">
        <f t="shared" si="27"/>
        <v>0</v>
      </c>
      <c r="W38" s="471">
        <f t="shared" si="27"/>
        <v>0</v>
      </c>
      <c r="X38" s="471">
        <f t="shared" si="27"/>
        <v>0</v>
      </c>
      <c r="Y38" s="471">
        <f t="shared" si="27"/>
        <v>0</v>
      </c>
      <c r="Z38" s="471">
        <f t="shared" si="27"/>
        <v>0</v>
      </c>
      <c r="AA38" s="471">
        <f t="shared" si="27"/>
        <v>0</v>
      </c>
      <c r="AB38" s="471">
        <f t="shared" si="27"/>
        <v>0</v>
      </c>
    </row>
    <row r="39" spans="2:28">
      <c r="C39" s="452"/>
      <c r="D39" s="452"/>
      <c r="E39" s="452"/>
      <c r="F39" s="452"/>
      <c r="G39" s="452"/>
      <c r="H39" s="452"/>
      <c r="Q39" s="452"/>
      <c r="R39" s="452"/>
      <c r="S39" s="452"/>
      <c r="T39" s="452"/>
    </row>
    <row r="40" spans="2:28">
      <c r="B40" s="452"/>
      <c r="C40" s="452"/>
      <c r="D40" s="452"/>
      <c r="E40" s="452"/>
      <c r="F40" s="452"/>
      <c r="G40" s="452"/>
      <c r="H40" s="452"/>
      <c r="Q40" s="452"/>
      <c r="R40" s="452"/>
      <c r="S40" s="452"/>
      <c r="T40" s="452"/>
    </row>
    <row r="41" spans="2:28">
      <c r="B41" s="480" t="s">
        <v>651</v>
      </c>
      <c r="C41" s="452"/>
      <c r="D41" s="452"/>
      <c r="E41" s="452"/>
      <c r="F41" s="452"/>
      <c r="G41" s="452"/>
      <c r="H41" s="452"/>
      <c r="Q41" s="452"/>
      <c r="R41" s="452"/>
      <c r="S41" s="452"/>
      <c r="T41" s="452"/>
    </row>
    <row r="42" spans="2:28">
      <c r="B42" s="452" t="s">
        <v>1200</v>
      </c>
      <c r="C42" s="450">
        <f>1800000/12</f>
        <v>150000</v>
      </c>
      <c r="D42" s="452"/>
      <c r="E42" s="471">
        <f t="shared" ref="E42:AB42" si="28">-$C42</f>
        <v>-150000</v>
      </c>
      <c r="F42" s="471">
        <f t="shared" si="28"/>
        <v>-150000</v>
      </c>
      <c r="G42" s="471">
        <f t="shared" si="28"/>
        <v>-150000</v>
      </c>
      <c r="H42" s="471">
        <f t="shared" si="28"/>
        <v>-150000</v>
      </c>
      <c r="I42" s="471">
        <f t="shared" si="28"/>
        <v>-150000</v>
      </c>
      <c r="J42" s="471">
        <f t="shared" si="28"/>
        <v>-150000</v>
      </c>
      <c r="K42" s="471">
        <f t="shared" si="28"/>
        <v>-150000</v>
      </c>
      <c r="L42" s="471">
        <f t="shared" si="28"/>
        <v>-150000</v>
      </c>
      <c r="M42" s="471">
        <f t="shared" si="28"/>
        <v>-150000</v>
      </c>
      <c r="N42" s="471">
        <f t="shared" si="28"/>
        <v>-150000</v>
      </c>
      <c r="O42" s="471">
        <f t="shared" si="28"/>
        <v>-150000</v>
      </c>
      <c r="P42" s="471">
        <f t="shared" si="28"/>
        <v>-150000</v>
      </c>
      <c r="Q42" s="471">
        <f t="shared" si="28"/>
        <v>-150000</v>
      </c>
      <c r="R42" s="471">
        <f t="shared" si="28"/>
        <v>-150000</v>
      </c>
      <c r="S42" s="471">
        <f t="shared" si="28"/>
        <v>-150000</v>
      </c>
      <c r="T42" s="471">
        <f t="shared" si="28"/>
        <v>-150000</v>
      </c>
      <c r="U42" s="471">
        <f t="shared" si="28"/>
        <v>-150000</v>
      </c>
      <c r="V42" s="471">
        <f t="shared" si="28"/>
        <v>-150000</v>
      </c>
      <c r="W42" s="471">
        <f t="shared" si="28"/>
        <v>-150000</v>
      </c>
      <c r="X42" s="471">
        <f t="shared" si="28"/>
        <v>-150000</v>
      </c>
      <c r="Y42" s="471">
        <f t="shared" si="28"/>
        <v>-150000</v>
      </c>
      <c r="Z42" s="471">
        <f t="shared" si="28"/>
        <v>-150000</v>
      </c>
      <c r="AA42" s="471">
        <f t="shared" si="28"/>
        <v>-150000</v>
      </c>
      <c r="AB42" s="471">
        <f t="shared" si="28"/>
        <v>-150000</v>
      </c>
    </row>
    <row r="43" spans="2:28">
      <c r="B43" s="452" t="s">
        <v>1203</v>
      </c>
      <c r="C43" s="450">
        <f>1890000/12</f>
        <v>157500</v>
      </c>
      <c r="D43" s="452"/>
      <c r="E43" s="471">
        <f>-$C$43</f>
        <v>-157500</v>
      </c>
      <c r="F43" s="471">
        <f t="shared" ref="F43:AB43" si="29">-$C$43</f>
        <v>-157500</v>
      </c>
      <c r="G43" s="471">
        <f t="shared" si="29"/>
        <v>-157500</v>
      </c>
      <c r="H43" s="471">
        <f t="shared" si="29"/>
        <v>-157500</v>
      </c>
      <c r="I43" s="471">
        <f t="shared" si="29"/>
        <v>-157500</v>
      </c>
      <c r="J43" s="471">
        <f t="shared" si="29"/>
        <v>-157500</v>
      </c>
      <c r="K43" s="471">
        <f t="shared" si="29"/>
        <v>-157500</v>
      </c>
      <c r="L43" s="471">
        <f t="shared" si="29"/>
        <v>-157500</v>
      </c>
      <c r="M43" s="471">
        <f t="shared" si="29"/>
        <v>-157500</v>
      </c>
      <c r="N43" s="471">
        <f t="shared" si="29"/>
        <v>-157500</v>
      </c>
      <c r="O43" s="471">
        <f t="shared" si="29"/>
        <v>-157500</v>
      </c>
      <c r="P43" s="471">
        <f t="shared" si="29"/>
        <v>-157500</v>
      </c>
      <c r="Q43" s="471">
        <f t="shared" si="29"/>
        <v>-157500</v>
      </c>
      <c r="R43" s="471">
        <f t="shared" si="29"/>
        <v>-157500</v>
      </c>
      <c r="S43" s="471">
        <f t="shared" si="29"/>
        <v>-157500</v>
      </c>
      <c r="T43" s="471">
        <f t="shared" si="29"/>
        <v>-157500</v>
      </c>
      <c r="U43" s="471">
        <f t="shared" si="29"/>
        <v>-157500</v>
      </c>
      <c r="V43" s="471">
        <f t="shared" si="29"/>
        <v>-157500</v>
      </c>
      <c r="W43" s="471">
        <f t="shared" si="29"/>
        <v>-157500</v>
      </c>
      <c r="X43" s="471">
        <f t="shared" si="29"/>
        <v>-157500</v>
      </c>
      <c r="Y43" s="471">
        <f t="shared" si="29"/>
        <v>-157500</v>
      </c>
      <c r="Z43" s="471">
        <f t="shared" si="29"/>
        <v>-157500</v>
      </c>
      <c r="AA43" s="471">
        <f t="shared" si="29"/>
        <v>-157500</v>
      </c>
      <c r="AB43" s="471">
        <f t="shared" si="29"/>
        <v>-157500</v>
      </c>
    </row>
    <row r="44" spans="2:28">
      <c r="B44" s="452"/>
      <c r="C44" s="450"/>
      <c r="D44" s="452"/>
      <c r="E44" s="471">
        <f>0/12</f>
        <v>0</v>
      </c>
      <c r="F44" s="471">
        <f t="shared" ref="F44:U45" si="30">-$C44</f>
        <v>0</v>
      </c>
      <c r="G44" s="471">
        <f t="shared" si="30"/>
        <v>0</v>
      </c>
      <c r="H44" s="471">
        <f t="shared" si="30"/>
        <v>0</v>
      </c>
      <c r="I44" s="471">
        <f t="shared" si="30"/>
        <v>0</v>
      </c>
      <c r="J44" s="471">
        <f t="shared" si="30"/>
        <v>0</v>
      </c>
      <c r="K44" s="471">
        <f t="shared" si="30"/>
        <v>0</v>
      </c>
      <c r="L44" s="471">
        <f t="shared" si="30"/>
        <v>0</v>
      </c>
      <c r="M44" s="471">
        <f t="shared" si="30"/>
        <v>0</v>
      </c>
      <c r="N44" s="471">
        <f t="shared" si="30"/>
        <v>0</v>
      </c>
      <c r="O44" s="471">
        <f t="shared" si="30"/>
        <v>0</v>
      </c>
      <c r="P44" s="471">
        <f t="shared" si="30"/>
        <v>0</v>
      </c>
      <c r="Q44" s="471">
        <f t="shared" si="30"/>
        <v>0</v>
      </c>
      <c r="R44" s="471">
        <f t="shared" si="30"/>
        <v>0</v>
      </c>
      <c r="S44" s="471">
        <f t="shared" si="30"/>
        <v>0</v>
      </c>
      <c r="T44" s="471">
        <f t="shared" si="30"/>
        <v>0</v>
      </c>
      <c r="U44" s="471">
        <f t="shared" si="30"/>
        <v>0</v>
      </c>
      <c r="V44" s="471">
        <f t="shared" ref="U44:AB45" si="31">-$C44</f>
        <v>0</v>
      </c>
      <c r="W44" s="471">
        <f t="shared" si="31"/>
        <v>0</v>
      </c>
      <c r="X44" s="471">
        <f t="shared" si="31"/>
        <v>0</v>
      </c>
      <c r="Y44" s="471">
        <f t="shared" si="31"/>
        <v>0</v>
      </c>
      <c r="Z44" s="471">
        <f t="shared" si="31"/>
        <v>0</v>
      </c>
      <c r="AA44" s="471">
        <f t="shared" si="31"/>
        <v>0</v>
      </c>
      <c r="AB44" s="471">
        <f t="shared" si="31"/>
        <v>0</v>
      </c>
    </row>
    <row r="45" spans="2:28">
      <c r="B45" s="452"/>
      <c r="C45" s="450"/>
      <c r="D45" s="452"/>
      <c r="E45" s="471">
        <f>0</f>
        <v>0</v>
      </c>
      <c r="F45" s="471">
        <f t="shared" si="30"/>
        <v>0</v>
      </c>
      <c r="G45" s="471">
        <f t="shared" si="30"/>
        <v>0</v>
      </c>
      <c r="H45" s="471">
        <f t="shared" si="30"/>
        <v>0</v>
      </c>
      <c r="I45" s="471">
        <f t="shared" si="30"/>
        <v>0</v>
      </c>
      <c r="J45" s="471">
        <f t="shared" si="30"/>
        <v>0</v>
      </c>
      <c r="K45" s="471">
        <f t="shared" si="30"/>
        <v>0</v>
      </c>
      <c r="L45" s="471">
        <f t="shared" si="30"/>
        <v>0</v>
      </c>
      <c r="M45" s="471">
        <f t="shared" si="30"/>
        <v>0</v>
      </c>
      <c r="N45" s="471">
        <f t="shared" si="30"/>
        <v>0</v>
      </c>
      <c r="O45" s="471">
        <f t="shared" si="30"/>
        <v>0</v>
      </c>
      <c r="P45" s="471">
        <f t="shared" si="30"/>
        <v>0</v>
      </c>
      <c r="Q45" s="471">
        <f t="shared" si="30"/>
        <v>0</v>
      </c>
      <c r="R45" s="471">
        <f t="shared" si="30"/>
        <v>0</v>
      </c>
      <c r="S45" s="471">
        <f t="shared" si="30"/>
        <v>0</v>
      </c>
      <c r="T45" s="471">
        <f t="shared" si="30"/>
        <v>0</v>
      </c>
      <c r="U45" s="471">
        <f t="shared" si="31"/>
        <v>0</v>
      </c>
      <c r="V45" s="471">
        <f t="shared" si="31"/>
        <v>0</v>
      </c>
      <c r="W45" s="471">
        <f t="shared" si="31"/>
        <v>0</v>
      </c>
      <c r="X45" s="471">
        <f t="shared" si="31"/>
        <v>0</v>
      </c>
      <c r="Y45" s="471">
        <f t="shared" si="31"/>
        <v>0</v>
      </c>
      <c r="Z45" s="471">
        <f t="shared" si="31"/>
        <v>0</v>
      </c>
      <c r="AA45" s="471">
        <f t="shared" si="31"/>
        <v>0</v>
      </c>
      <c r="AB45" s="471">
        <f t="shared" si="31"/>
        <v>0</v>
      </c>
    </row>
    <row r="46" spans="2:28">
      <c r="B46" s="452"/>
      <c r="C46" s="450"/>
      <c r="D46" s="452"/>
      <c r="E46" s="471">
        <v>0</v>
      </c>
      <c r="F46" s="471">
        <f>-$C46/12</f>
        <v>0</v>
      </c>
      <c r="G46" s="471">
        <f t="shared" ref="G46:AB46" si="32">-$C46/12</f>
        <v>0</v>
      </c>
      <c r="H46" s="471">
        <f t="shared" si="32"/>
        <v>0</v>
      </c>
      <c r="I46" s="471">
        <f t="shared" si="32"/>
        <v>0</v>
      </c>
      <c r="J46" s="471">
        <f t="shared" si="32"/>
        <v>0</v>
      </c>
      <c r="K46" s="471">
        <f t="shared" si="32"/>
        <v>0</v>
      </c>
      <c r="L46" s="471">
        <f t="shared" si="32"/>
        <v>0</v>
      </c>
      <c r="M46" s="471">
        <f t="shared" si="32"/>
        <v>0</v>
      </c>
      <c r="N46" s="471">
        <f t="shared" si="32"/>
        <v>0</v>
      </c>
      <c r="O46" s="471">
        <f t="shared" si="32"/>
        <v>0</v>
      </c>
      <c r="P46" s="471">
        <f t="shared" si="32"/>
        <v>0</v>
      </c>
      <c r="Q46" s="471">
        <f t="shared" si="32"/>
        <v>0</v>
      </c>
      <c r="R46" s="471">
        <f t="shared" si="32"/>
        <v>0</v>
      </c>
      <c r="S46" s="471">
        <f t="shared" si="32"/>
        <v>0</v>
      </c>
      <c r="T46" s="471">
        <f t="shared" si="32"/>
        <v>0</v>
      </c>
      <c r="U46" s="471">
        <f t="shared" si="32"/>
        <v>0</v>
      </c>
      <c r="V46" s="471">
        <f t="shared" si="32"/>
        <v>0</v>
      </c>
      <c r="W46" s="471">
        <f t="shared" si="32"/>
        <v>0</v>
      </c>
      <c r="X46" s="471">
        <f t="shared" si="32"/>
        <v>0</v>
      </c>
      <c r="Y46" s="471">
        <f t="shared" si="32"/>
        <v>0</v>
      </c>
      <c r="Z46" s="471">
        <f t="shared" si="32"/>
        <v>0</v>
      </c>
      <c r="AA46" s="471">
        <f t="shared" si="32"/>
        <v>0</v>
      </c>
      <c r="AB46" s="471">
        <f t="shared" si="32"/>
        <v>0</v>
      </c>
    </row>
    <row r="47" spans="2:28">
      <c r="B47" s="452"/>
      <c r="C47" s="452"/>
      <c r="D47" s="452"/>
      <c r="E47" s="452"/>
      <c r="F47" s="452"/>
      <c r="G47" s="452"/>
      <c r="H47" s="452"/>
      <c r="Q47" s="452"/>
      <c r="R47" s="452"/>
      <c r="S47" s="452"/>
      <c r="T47" s="452"/>
    </row>
    <row r="48" spans="2:28">
      <c r="B48" s="480" t="s">
        <v>654</v>
      </c>
      <c r="C48" s="481">
        <v>0</v>
      </c>
      <c r="D48" s="452"/>
      <c r="E48" s="471">
        <f>-$C$48</f>
        <v>0</v>
      </c>
      <c r="F48" s="471">
        <f t="shared" ref="F48:AB48" si="33">-$C$48</f>
        <v>0</v>
      </c>
      <c r="G48" s="471">
        <f t="shared" si="33"/>
        <v>0</v>
      </c>
      <c r="H48" s="471">
        <f t="shared" si="33"/>
        <v>0</v>
      </c>
      <c r="I48" s="471">
        <f t="shared" si="33"/>
        <v>0</v>
      </c>
      <c r="J48" s="471">
        <f t="shared" si="33"/>
        <v>0</v>
      </c>
      <c r="K48" s="471">
        <f t="shared" si="33"/>
        <v>0</v>
      </c>
      <c r="L48" s="471">
        <f t="shared" si="33"/>
        <v>0</v>
      </c>
      <c r="M48" s="471">
        <f t="shared" si="33"/>
        <v>0</v>
      </c>
      <c r="N48" s="471">
        <f t="shared" si="33"/>
        <v>0</v>
      </c>
      <c r="O48" s="471">
        <f t="shared" si="33"/>
        <v>0</v>
      </c>
      <c r="P48" s="471">
        <f t="shared" si="33"/>
        <v>0</v>
      </c>
      <c r="Q48" s="471">
        <f>-$C$48</f>
        <v>0</v>
      </c>
      <c r="R48" s="471">
        <f t="shared" si="33"/>
        <v>0</v>
      </c>
      <c r="S48" s="471">
        <f t="shared" si="33"/>
        <v>0</v>
      </c>
      <c r="T48" s="471">
        <f t="shared" si="33"/>
        <v>0</v>
      </c>
      <c r="U48" s="471">
        <f t="shared" si="33"/>
        <v>0</v>
      </c>
      <c r="V48" s="471">
        <f t="shared" si="33"/>
        <v>0</v>
      </c>
      <c r="W48" s="471">
        <f t="shared" si="33"/>
        <v>0</v>
      </c>
      <c r="X48" s="471">
        <f t="shared" si="33"/>
        <v>0</v>
      </c>
      <c r="Y48" s="471">
        <f t="shared" si="33"/>
        <v>0</v>
      </c>
      <c r="Z48" s="471">
        <f t="shared" si="33"/>
        <v>0</v>
      </c>
      <c r="AA48" s="471">
        <f t="shared" si="33"/>
        <v>0</v>
      </c>
      <c r="AB48" s="471">
        <f t="shared" si="33"/>
        <v>0</v>
      </c>
    </row>
    <row r="49" spans="1:28">
      <c r="B49" s="452" t="s">
        <v>1265</v>
      </c>
      <c r="C49" s="450">
        <f>180000*1.65*13*3*1.7</f>
        <v>19691100</v>
      </c>
      <c r="D49" s="452"/>
      <c r="E49" s="452"/>
      <c r="F49" s="1033">
        <f>-$C$49/12</f>
        <v>-1640925</v>
      </c>
      <c r="G49" s="1033">
        <f t="shared" ref="G49:AB49" si="34">-$C$49/12</f>
        <v>-1640925</v>
      </c>
      <c r="H49" s="1033">
        <f t="shared" si="34"/>
        <v>-1640925</v>
      </c>
      <c r="I49" s="1033">
        <f t="shared" si="34"/>
        <v>-1640925</v>
      </c>
      <c r="J49" s="1033">
        <f t="shared" si="34"/>
        <v>-1640925</v>
      </c>
      <c r="K49" s="1033">
        <f t="shared" si="34"/>
        <v>-1640925</v>
      </c>
      <c r="L49" s="1033">
        <f t="shared" si="34"/>
        <v>-1640925</v>
      </c>
      <c r="M49" s="1033">
        <f t="shared" si="34"/>
        <v>-1640925</v>
      </c>
      <c r="N49" s="1033">
        <f t="shared" si="34"/>
        <v>-1640925</v>
      </c>
      <c r="O49" s="1033">
        <f t="shared" si="34"/>
        <v>-1640925</v>
      </c>
      <c r="P49" s="1033">
        <f t="shared" si="34"/>
        <v>-1640925</v>
      </c>
      <c r="Q49" s="1033">
        <f t="shared" si="34"/>
        <v>-1640925</v>
      </c>
      <c r="R49" s="1033">
        <f t="shared" si="34"/>
        <v>-1640925</v>
      </c>
      <c r="S49" s="1033">
        <f t="shared" si="34"/>
        <v>-1640925</v>
      </c>
      <c r="T49" s="1033">
        <f t="shared" si="34"/>
        <v>-1640925</v>
      </c>
      <c r="U49" s="1033">
        <f t="shared" si="34"/>
        <v>-1640925</v>
      </c>
      <c r="V49" s="1033">
        <f t="shared" si="34"/>
        <v>-1640925</v>
      </c>
      <c r="W49" s="1033">
        <f t="shared" si="34"/>
        <v>-1640925</v>
      </c>
      <c r="X49" s="1033">
        <f t="shared" si="34"/>
        <v>-1640925</v>
      </c>
      <c r="Y49" s="1033">
        <f t="shared" si="34"/>
        <v>-1640925</v>
      </c>
      <c r="Z49" s="1033">
        <f t="shared" si="34"/>
        <v>-1640925</v>
      </c>
      <c r="AA49" s="1033">
        <f t="shared" si="34"/>
        <v>-1640925</v>
      </c>
      <c r="AB49" s="1033">
        <f t="shared" si="34"/>
        <v>-1640925</v>
      </c>
    </row>
    <row r="50" spans="1:28">
      <c r="B50" s="452"/>
      <c r="C50" s="450"/>
      <c r="D50" s="452"/>
      <c r="E50" s="452"/>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c r="AB50" s="1033"/>
    </row>
    <row r="51" spans="1:28">
      <c r="B51" s="452"/>
      <c r="C51" s="452"/>
      <c r="D51" s="452"/>
      <c r="E51" s="452"/>
      <c r="F51" s="452"/>
      <c r="G51" s="452"/>
      <c r="H51" s="452"/>
      <c r="Q51" s="452"/>
      <c r="R51" s="452"/>
      <c r="S51" s="452"/>
      <c r="T51" s="452"/>
    </row>
    <row r="52" spans="1:28">
      <c r="B52" s="452" t="s">
        <v>176</v>
      </c>
      <c r="C52" s="452"/>
      <c r="D52" s="452"/>
      <c r="E52" s="482">
        <f>SUM(E22,E27:E30,E33:E39,E42:E46,E48:E50)</f>
        <v>-8382500</v>
      </c>
      <c r="F52" s="483">
        <f t="shared" ref="F52:AB52" si="35">SUM(F27:F51)+F22</f>
        <v>-15030013.017787499</v>
      </c>
      <c r="G52" s="483">
        <f t="shared" si="35"/>
        <v>-3378718.3926250003</v>
      </c>
      <c r="H52" s="483">
        <f t="shared" si="35"/>
        <v>-3378718.3926250003</v>
      </c>
      <c r="I52" s="483">
        <f t="shared" si="35"/>
        <v>-3378718.3926250003</v>
      </c>
      <c r="J52" s="483">
        <f t="shared" si="35"/>
        <v>-3378718.3926250003</v>
      </c>
      <c r="K52" s="483">
        <f t="shared" si="35"/>
        <v>-3378718.3926250003</v>
      </c>
      <c r="L52" s="483">
        <f t="shared" si="35"/>
        <v>-3378718.3926250003</v>
      </c>
      <c r="M52" s="483">
        <f t="shared" si="35"/>
        <v>-3378718.3926250003</v>
      </c>
      <c r="N52" s="483">
        <f t="shared" si="35"/>
        <v>-3378718.3926250003</v>
      </c>
      <c r="O52" s="483">
        <f t="shared" si="35"/>
        <v>-3378718.3926250003</v>
      </c>
      <c r="P52" s="483">
        <f t="shared" si="35"/>
        <v>-3378718.3926250003</v>
      </c>
      <c r="Q52" s="483">
        <f t="shared" si="35"/>
        <v>43744954.499999993</v>
      </c>
      <c r="R52" s="483">
        <f t="shared" si="35"/>
        <v>43744954.499999993</v>
      </c>
      <c r="S52" s="483">
        <f t="shared" si="35"/>
        <v>43744954.499999993</v>
      </c>
      <c r="T52" s="483">
        <f t="shared" si="35"/>
        <v>43744954.499999993</v>
      </c>
      <c r="U52" s="483">
        <f t="shared" si="35"/>
        <v>43744954.499999993</v>
      </c>
      <c r="V52" s="483">
        <f t="shared" si="35"/>
        <v>43744954.499999993</v>
      </c>
      <c r="W52" s="483">
        <f t="shared" si="35"/>
        <v>43744954.499999993</v>
      </c>
      <c r="X52" s="483">
        <f t="shared" si="35"/>
        <v>43744954.499999993</v>
      </c>
      <c r="Y52" s="483">
        <f t="shared" si="35"/>
        <v>43744954.499999993</v>
      </c>
      <c r="Z52" s="483">
        <f t="shared" si="35"/>
        <v>43744954.499999993</v>
      </c>
      <c r="AA52" s="483">
        <f t="shared" si="35"/>
        <v>43744954.499999993</v>
      </c>
      <c r="AB52" s="483">
        <f t="shared" si="35"/>
        <v>43744954.499999993</v>
      </c>
    </row>
    <row r="53" spans="1:28">
      <c r="B53" s="484" t="s">
        <v>657</v>
      </c>
      <c r="C53" s="485"/>
      <c r="D53" s="486"/>
      <c r="E53" s="627">
        <f>E52</f>
        <v>-8382500</v>
      </c>
      <c r="F53" s="628">
        <f>E53+F52</f>
        <v>-23412513.017787501</v>
      </c>
      <c r="G53" s="628">
        <f t="shared" ref="G53:O53" si="36">F53+G52</f>
        <v>-26791231.410412502</v>
      </c>
      <c r="H53" s="628">
        <f t="shared" si="36"/>
        <v>-30169949.803037502</v>
      </c>
      <c r="I53" s="628">
        <f t="shared" si="36"/>
        <v>-33548668.195662502</v>
      </c>
      <c r="J53" s="628">
        <f t="shared" si="36"/>
        <v>-36927386.588287503</v>
      </c>
      <c r="K53" s="628">
        <f t="shared" si="36"/>
        <v>-40306104.980912507</v>
      </c>
      <c r="L53" s="628">
        <f t="shared" si="36"/>
        <v>-43684823.373537511</v>
      </c>
      <c r="M53" s="628">
        <f t="shared" si="36"/>
        <v>-47063541.766162515</v>
      </c>
      <c r="N53" s="628">
        <f t="shared" si="36"/>
        <v>-50442260.158787519</v>
      </c>
      <c r="O53" s="628">
        <f t="shared" si="36"/>
        <v>-53820978.551412523</v>
      </c>
      <c r="P53" s="628">
        <f>O53+P52</f>
        <v>-57199696.944037527</v>
      </c>
      <c r="Q53" s="627">
        <f>P53+Q52</f>
        <v>-13454742.444037534</v>
      </c>
      <c r="R53" s="628">
        <f>Q53+R52</f>
        <v>30290212.055962458</v>
      </c>
      <c r="S53" s="628">
        <f t="shared" ref="S53:AB53" si="37">R53+S52</f>
        <v>74035166.555962443</v>
      </c>
      <c r="T53" s="628">
        <f t="shared" si="37"/>
        <v>117780121.05596244</v>
      </c>
      <c r="U53" s="628">
        <f t="shared" si="37"/>
        <v>161525075.55596244</v>
      </c>
      <c r="V53" s="628">
        <f t="shared" si="37"/>
        <v>205270030.05596244</v>
      </c>
      <c r="W53" s="628">
        <f t="shared" si="37"/>
        <v>249014984.55596244</v>
      </c>
      <c r="X53" s="628">
        <f t="shared" si="37"/>
        <v>292759939.05596244</v>
      </c>
      <c r="Y53" s="628">
        <f t="shared" si="37"/>
        <v>336504893.55596244</v>
      </c>
      <c r="Z53" s="628">
        <f t="shared" si="37"/>
        <v>380249848.05596244</v>
      </c>
      <c r="AA53" s="628">
        <f t="shared" si="37"/>
        <v>423994802.55596244</v>
      </c>
      <c r="AB53" s="628">
        <f t="shared" si="37"/>
        <v>467739757.05596244</v>
      </c>
    </row>
    <row r="57" spans="1:28">
      <c r="A57" s="384" t="s">
        <v>658</v>
      </c>
      <c r="E57" s="469"/>
      <c r="F57" s="490"/>
    </row>
    <row r="58" spans="1:28">
      <c r="E58" s="469"/>
      <c r="F58" s="490"/>
    </row>
    <row r="59" spans="1:28" ht="14.25">
      <c r="E59" s="626" t="s">
        <v>659</v>
      </c>
      <c r="F59" s="492">
        <f>MIN(E53:AB53)</f>
        <v>-57199696.944037527</v>
      </c>
      <c r="G59" s="384" t="s">
        <v>660</v>
      </c>
    </row>
    <row r="60" spans="1:28">
      <c r="B60" s="384" t="s">
        <v>1208</v>
      </c>
      <c r="C60" s="384">
        <v>400</v>
      </c>
      <c r="E60" s="469"/>
      <c r="F60" s="490"/>
    </row>
    <row r="61" spans="1:28" ht="15" customHeight="1">
      <c r="B61" s="384" t="s">
        <v>1209</v>
      </c>
      <c r="C61" s="384">
        <v>1480</v>
      </c>
      <c r="F61" s="493"/>
      <c r="G61" s="384" t="s">
        <v>661</v>
      </c>
    </row>
    <row r="62" spans="1:28" ht="15" customHeight="1">
      <c r="B62" s="384" t="s">
        <v>1210</v>
      </c>
      <c r="C62" s="384">
        <v>1600</v>
      </c>
      <c r="G62" s="384" t="s">
        <v>662</v>
      </c>
    </row>
    <row r="63" spans="1:28" ht="15" customHeight="1">
      <c r="B63" s="384" t="s">
        <v>1211</v>
      </c>
      <c r="C63" s="384">
        <v>135</v>
      </c>
      <c r="G63" s="384" t="s">
        <v>663</v>
      </c>
    </row>
    <row r="65" spans="2:11" ht="15" customHeight="1">
      <c r="F65" s="384">
        <v>25500</v>
      </c>
      <c r="G65" s="384">
        <v>28050.000000000004</v>
      </c>
      <c r="H65" s="384">
        <v>30855.000000000007</v>
      </c>
      <c r="I65" s="384">
        <v>29620.800000000007</v>
      </c>
      <c r="J65" s="384">
        <v>28435.968000000008</v>
      </c>
    </row>
    <row r="66" spans="2:11" ht="15" customHeight="1">
      <c r="B66" s="384" t="s">
        <v>664</v>
      </c>
      <c r="F66" s="1728" t="s">
        <v>665</v>
      </c>
      <c r="G66" s="1728"/>
      <c r="H66" s="1728"/>
      <c r="I66" s="1728"/>
      <c r="J66" s="1728"/>
    </row>
    <row r="67" spans="2:11" ht="15" customHeight="1" thickBot="1">
      <c r="B67" s="494" t="s">
        <v>666</v>
      </c>
      <c r="C67" s="494"/>
      <c r="D67" s="494"/>
      <c r="E67" s="495"/>
      <c r="F67" s="449" t="s">
        <v>667</v>
      </c>
      <c r="G67" s="494"/>
      <c r="H67" s="494"/>
      <c r="I67" s="494"/>
      <c r="J67" s="494"/>
    </row>
    <row r="68" spans="2:11" ht="15" customHeight="1" thickTop="1" thickBot="1">
      <c r="B68" s="494" t="s">
        <v>668</v>
      </c>
      <c r="C68" s="494"/>
      <c r="D68" s="496">
        <v>120000</v>
      </c>
      <c r="F68" s="494" t="s">
        <v>427</v>
      </c>
      <c r="G68" s="494" t="s">
        <v>177</v>
      </c>
      <c r="H68" s="494" t="s">
        <v>669</v>
      </c>
      <c r="I68" s="494" t="s">
        <v>670</v>
      </c>
      <c r="J68" s="494" t="s">
        <v>671</v>
      </c>
    </row>
    <row r="69" spans="2:11" ht="15" customHeight="1" thickTop="1" thickBot="1">
      <c r="B69" s="494" t="s">
        <v>672</v>
      </c>
      <c r="C69" s="494"/>
      <c r="D69" s="496">
        <v>100000</v>
      </c>
      <c r="F69" s="494">
        <v>0</v>
      </c>
      <c r="G69" s="496">
        <v>0</v>
      </c>
      <c r="H69" s="497">
        <v>0</v>
      </c>
      <c r="I69" s="498">
        <v>0</v>
      </c>
      <c r="J69" s="499">
        <f>F59</f>
        <v>-57199696.944037527</v>
      </c>
      <c r="K69" s="419" t="s">
        <v>1180</v>
      </c>
    </row>
    <row r="70" spans="2:11" ht="15" customHeight="1" thickTop="1" thickBot="1">
      <c r="B70" s="494" t="s">
        <v>674</v>
      </c>
      <c r="C70" s="494"/>
      <c r="D70" s="496">
        <v>80000</v>
      </c>
      <c r="F70" s="494">
        <v>1</v>
      </c>
      <c r="G70" s="797">
        <v>0</v>
      </c>
      <c r="H70" s="497">
        <v>0</v>
      </c>
      <c r="I70" s="498">
        <f>J69</f>
        <v>-57199696.944037527</v>
      </c>
      <c r="J70" s="500" t="e">
        <f>I70*H71</f>
        <v>#DIV/0!</v>
      </c>
      <c r="K70" s="1219" t="s">
        <v>1181</v>
      </c>
    </row>
    <row r="71" spans="2:11" ht="15" customHeight="1" thickTop="1" thickBot="1">
      <c r="B71" s="494" t="s">
        <v>676</v>
      </c>
      <c r="C71" s="494"/>
      <c r="D71" s="496">
        <v>630000</v>
      </c>
      <c r="F71" s="494">
        <v>2</v>
      </c>
      <c r="G71" s="797">
        <v>0</v>
      </c>
      <c r="H71" s="497" t="e">
        <f>G71/G70-1</f>
        <v>#DIV/0!</v>
      </c>
      <c r="I71" s="498" t="e">
        <f>I70+J70</f>
        <v>#DIV/0!</v>
      </c>
      <c r="J71" s="500" t="e">
        <f>I71*H72</f>
        <v>#DIV/0!</v>
      </c>
      <c r="K71" s="1219" t="s">
        <v>1182</v>
      </c>
    </row>
    <row r="72" spans="2:11" ht="15" customHeight="1" thickTop="1" thickBot="1">
      <c r="B72" s="501"/>
      <c r="C72" s="501" t="s">
        <v>677</v>
      </c>
      <c r="D72" s="496">
        <f>(D68-D69)*(D71/D70)</f>
        <v>157500</v>
      </c>
      <c r="F72" s="494">
        <v>3</v>
      </c>
      <c r="G72" s="797">
        <v>0</v>
      </c>
      <c r="H72" s="497" t="e">
        <f>G72/G71-1</f>
        <v>#DIV/0!</v>
      </c>
      <c r="I72" s="498" t="e">
        <f>I71+J71</f>
        <v>#DIV/0!</v>
      </c>
      <c r="J72" s="500" t="e">
        <f>I72*H73</f>
        <v>#DIV/0!</v>
      </c>
      <c r="K72" s="1219" t="s">
        <v>1183</v>
      </c>
    </row>
    <row r="73" spans="2:11" ht="15" customHeight="1" thickTop="1">
      <c r="F73" s="494">
        <v>4</v>
      </c>
      <c r="G73" s="797">
        <v>0</v>
      </c>
      <c r="H73" s="497" t="e">
        <f>G73/G72-1</f>
        <v>#DIV/0!</v>
      </c>
      <c r="I73" s="498" t="e">
        <f>I72+J72</f>
        <v>#DIV/0!</v>
      </c>
      <c r="J73" s="500" t="e">
        <f>I73*H74</f>
        <v>#DIV/0!</v>
      </c>
      <c r="K73" s="1219" t="s">
        <v>1184</v>
      </c>
    </row>
    <row r="74" spans="2:11" ht="15" customHeight="1">
      <c r="F74" s="494">
        <v>5</v>
      </c>
      <c r="G74" s="797">
        <v>0</v>
      </c>
      <c r="H74" s="497" t="e">
        <f>G74/G73-1</f>
        <v>#DIV/0!</v>
      </c>
      <c r="I74" s="498" t="e">
        <f>I73+J73</f>
        <v>#DIV/0!</v>
      </c>
      <c r="J74" s="500" t="e">
        <f>I74*H75</f>
        <v>#DIV/0!</v>
      </c>
      <c r="K74" s="1219" t="s">
        <v>1185</v>
      </c>
    </row>
    <row r="75" spans="2:11" ht="15" customHeight="1">
      <c r="G75" s="419" t="s">
        <v>678</v>
      </c>
    </row>
    <row r="77" spans="2:11" ht="15" customHeight="1">
      <c r="G77" s="1219" t="s">
        <v>1267</v>
      </c>
    </row>
    <row r="80" spans="2:11" ht="15" customHeight="1" thickBot="1"/>
    <row r="81" spans="2:13" ht="15" customHeight="1" thickBot="1">
      <c r="B81" s="1729" t="s">
        <v>679</v>
      </c>
      <c r="C81" s="1730"/>
      <c r="D81" s="1730"/>
      <c r="E81" s="1730"/>
      <c r="F81" s="1731"/>
    </row>
    <row r="82" spans="2:13" ht="15" customHeight="1">
      <c r="B82" s="502" t="s">
        <v>680</v>
      </c>
      <c r="C82" s="503" t="s">
        <v>681</v>
      </c>
      <c r="D82" s="503" t="s">
        <v>682</v>
      </c>
      <c r="E82" s="503" t="s">
        <v>683</v>
      </c>
      <c r="F82" s="504" t="s">
        <v>684</v>
      </c>
    </row>
    <row r="83" spans="2:13" ht="15" customHeight="1">
      <c r="B83" s="505" t="s">
        <v>685</v>
      </c>
      <c r="C83" s="506">
        <v>1</v>
      </c>
      <c r="D83" s="507">
        <v>330000</v>
      </c>
      <c r="E83" s="508">
        <v>0.4</v>
      </c>
      <c r="F83" s="509">
        <f>D83*(1+E83)*13*C83</f>
        <v>6005999.9999999991</v>
      </c>
    </row>
    <row r="84" spans="2:13" ht="15" customHeight="1">
      <c r="B84" s="505" t="s">
        <v>686</v>
      </c>
      <c r="C84" s="506">
        <v>4</v>
      </c>
      <c r="D84" s="507">
        <v>170000</v>
      </c>
      <c r="E84" s="510">
        <v>0.4</v>
      </c>
      <c r="F84" s="509">
        <f>D84*(1+E84)*13*C84</f>
        <v>12375999.999999998</v>
      </c>
    </row>
    <row r="85" spans="2:13" ht="15" customHeight="1" thickBot="1">
      <c r="B85" s="511"/>
      <c r="C85" s="512"/>
      <c r="D85" s="513"/>
      <c r="E85" s="512"/>
      <c r="F85" s="514">
        <f>D85*(1+E85)*13*C85</f>
        <v>0</v>
      </c>
    </row>
    <row r="86" spans="2:13" ht="15" customHeight="1" thickBot="1">
      <c r="C86" s="515"/>
      <c r="D86" s="515"/>
      <c r="E86" s="516" t="s">
        <v>176</v>
      </c>
      <c r="F86" s="517">
        <f>SUM(F83:F85)</f>
        <v>18381999.999999996</v>
      </c>
    </row>
    <row r="87" spans="2:13" ht="15" customHeight="1" thickBot="1"/>
    <row r="88" spans="2:13" ht="15" customHeight="1" thickBot="1">
      <c r="B88" s="1732" t="s">
        <v>576</v>
      </c>
      <c r="C88" s="1733"/>
      <c r="D88" s="1733"/>
      <c r="E88" s="1733"/>
      <c r="F88" s="1733"/>
      <c r="G88" s="1733"/>
      <c r="H88" s="1733"/>
      <c r="I88" s="1733"/>
      <c r="J88" s="1733"/>
      <c r="K88" s="1734"/>
    </row>
    <row r="89" spans="2:13" ht="15" customHeight="1">
      <c r="B89" s="518" t="s">
        <v>577</v>
      </c>
      <c r="C89" s="519" t="s">
        <v>578</v>
      </c>
      <c r="D89" s="520" t="s">
        <v>579</v>
      </c>
      <c r="E89" s="520" t="s">
        <v>102</v>
      </c>
      <c r="F89" s="520" t="s">
        <v>580</v>
      </c>
      <c r="G89" s="520" t="s">
        <v>581</v>
      </c>
      <c r="H89" s="520" t="s">
        <v>582</v>
      </c>
      <c r="I89" s="521" t="s">
        <v>583</v>
      </c>
      <c r="J89" s="522" t="s">
        <v>584</v>
      </c>
      <c r="K89" s="518" t="s">
        <v>585</v>
      </c>
      <c r="M89" s="518" t="s">
        <v>586</v>
      </c>
    </row>
    <row r="90" spans="2:13" ht="15" customHeight="1">
      <c r="B90" s="523" t="s">
        <v>587</v>
      </c>
      <c r="C90" s="524">
        <v>580</v>
      </c>
      <c r="D90" s="506" t="s">
        <v>519</v>
      </c>
      <c r="E90" s="525"/>
      <c r="F90" s="525">
        <v>0.2</v>
      </c>
      <c r="G90" s="526">
        <f>1-F90</f>
        <v>0.8</v>
      </c>
      <c r="H90" s="527">
        <f>C90/G90</f>
        <v>725</v>
      </c>
      <c r="I90" s="506">
        <v>5</v>
      </c>
      <c r="J90" s="528">
        <f>I90*H90*(1+E90)</f>
        <v>3625</v>
      </c>
      <c r="K90" s="1735">
        <f>SUM(J90:J94)</f>
        <v>4354.5</v>
      </c>
      <c r="L90" s="1717" t="s">
        <v>588</v>
      </c>
      <c r="M90" s="1718">
        <f>SUM(K90,L94)</f>
        <v>4554.5</v>
      </c>
    </row>
    <row r="91" spans="2:13" ht="15" customHeight="1">
      <c r="B91" s="523" t="s">
        <v>589</v>
      </c>
      <c r="C91" s="524">
        <v>100</v>
      </c>
      <c r="D91" s="506" t="s">
        <v>519</v>
      </c>
      <c r="E91" s="525">
        <v>0.1</v>
      </c>
      <c r="F91" s="525"/>
      <c r="G91" s="526">
        <f>1-F91</f>
        <v>1</v>
      </c>
      <c r="H91" s="527">
        <f>C91/G91</f>
        <v>100</v>
      </c>
      <c r="I91" s="526">
        <v>1</v>
      </c>
      <c r="J91" s="528">
        <f>I91*C91*(1+E91)</f>
        <v>110.00000000000001</v>
      </c>
      <c r="K91" s="1736"/>
      <c r="L91" s="1717"/>
      <c r="M91" s="1718"/>
    </row>
    <row r="92" spans="2:13" ht="15" customHeight="1">
      <c r="B92" s="523" t="s">
        <v>590</v>
      </c>
      <c r="C92" s="524">
        <v>150</v>
      </c>
      <c r="D92" s="506" t="s">
        <v>591</v>
      </c>
      <c r="E92" s="525"/>
      <c r="F92" s="525"/>
      <c r="G92" s="526">
        <f>1-F92</f>
        <v>1</v>
      </c>
      <c r="H92" s="527">
        <f>C92/G92</f>
        <v>150</v>
      </c>
      <c r="I92" s="506">
        <v>0.35</v>
      </c>
      <c r="J92" s="528">
        <f>I92*C92*(1+E92)</f>
        <v>52.5</v>
      </c>
      <c r="K92" s="1736"/>
      <c r="L92" s="1717"/>
      <c r="M92" s="1718"/>
    </row>
    <row r="93" spans="2:13" ht="15" customHeight="1">
      <c r="B93" s="523" t="s">
        <v>592</v>
      </c>
      <c r="C93" s="524">
        <v>63</v>
      </c>
      <c r="D93" s="506" t="s">
        <v>591</v>
      </c>
      <c r="E93" s="525"/>
      <c r="F93" s="525"/>
      <c r="G93" s="526">
        <f>1-F93</f>
        <v>1</v>
      </c>
      <c r="H93" s="527">
        <f>C93/G93</f>
        <v>63</v>
      </c>
      <c r="I93" s="506">
        <v>8</v>
      </c>
      <c r="J93" s="528">
        <f>I93*C93*(1+E93)</f>
        <v>504</v>
      </c>
      <c r="K93" s="1736"/>
      <c r="L93" s="1717"/>
      <c r="M93" s="1718"/>
    </row>
    <row r="94" spans="2:13" ht="15" customHeight="1" thickBot="1">
      <c r="B94" s="529" t="s">
        <v>593</v>
      </c>
      <c r="C94" s="530">
        <v>63</v>
      </c>
      <c r="D94" s="512" t="s">
        <v>594</v>
      </c>
      <c r="E94" s="531"/>
      <c r="F94" s="531"/>
      <c r="G94" s="526">
        <f>1-F94</f>
        <v>1</v>
      </c>
      <c r="H94" s="527">
        <f>C94/G94</f>
        <v>63</v>
      </c>
      <c r="I94" s="512">
        <v>1</v>
      </c>
      <c r="J94" s="528">
        <f>I94*C94*(1+E94)</f>
        <v>63</v>
      </c>
      <c r="K94" s="1737"/>
      <c r="L94" s="532">
        <v>200</v>
      </c>
      <c r="M94" s="1718"/>
    </row>
    <row r="95" spans="2:13" ht="15" customHeight="1">
      <c r="C95" s="419" t="s">
        <v>595</v>
      </c>
      <c r="E95" s="1719" t="s">
        <v>596</v>
      </c>
      <c r="F95" s="1720"/>
      <c r="I95" s="419" t="s">
        <v>595</v>
      </c>
      <c r="L95" s="419" t="s">
        <v>597</v>
      </c>
    </row>
  </sheetData>
  <mergeCells count="12">
    <mergeCell ref="E95:F95"/>
    <mergeCell ref="B2:C4"/>
    <mergeCell ref="E5:P5"/>
    <mergeCell ref="Q5:AB5"/>
    <mergeCell ref="E19:P19"/>
    <mergeCell ref="Q19:AB19"/>
    <mergeCell ref="F66:J66"/>
    <mergeCell ref="B81:F81"/>
    <mergeCell ref="B88:K88"/>
    <mergeCell ref="K90:K94"/>
    <mergeCell ref="L90:L93"/>
    <mergeCell ref="M90:M94"/>
  </mergeCells>
  <conditionalFormatting sqref="B81">
    <cfRule type="containsText" dxfId="3" priority="1" operator="containsText" text="999">
      <formula>NOT(ISERROR(SEARCH(("999"),(B81))))</formula>
    </cfRule>
  </conditionalFormatting>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716B0-CBFA-428C-B7AB-20096970A077}">
  <dimension ref="A1:T1013"/>
  <sheetViews>
    <sheetView topLeftCell="H1" workbookViewId="0">
      <selection activeCell="P15" sqref="P15"/>
    </sheetView>
  </sheetViews>
  <sheetFormatPr defaultColWidth="14.42578125" defaultRowHeight="15" customHeight="1"/>
  <cols>
    <col min="1" max="9" width="12.140625" style="1056" customWidth="1"/>
    <col min="10" max="10" width="16" style="1056" bestFit="1" customWidth="1"/>
    <col min="11" max="11" width="19.42578125" style="1056" customWidth="1"/>
    <col min="12" max="12" width="17.85546875" style="1056" customWidth="1"/>
    <col min="13" max="13" width="17" style="1056" customWidth="1"/>
    <col min="14" max="14" width="16.5703125" style="1056" customWidth="1"/>
    <col min="15" max="16" width="12.140625" style="1056" customWidth="1"/>
    <col min="17" max="17" width="17.7109375" style="1056" bestFit="1" customWidth="1"/>
    <col min="18" max="18" width="12.140625" style="1056" customWidth="1"/>
    <col min="19" max="19" width="27.7109375" style="1056" customWidth="1"/>
    <col min="20" max="26" width="12.140625" style="1056" customWidth="1"/>
    <col min="27" max="16384" width="14.42578125" style="1056"/>
  </cols>
  <sheetData>
    <row r="1" spans="1:20" ht="14.25" customHeight="1"/>
    <row r="2" spans="1:20" ht="14.25" customHeight="1" thickBot="1"/>
    <row r="3" spans="1:20" ht="14.25" customHeight="1" thickBot="1">
      <c r="I3" s="1057" t="s">
        <v>103</v>
      </c>
      <c r="J3" s="1058" t="s">
        <v>606</v>
      </c>
      <c r="K3" s="1058"/>
      <c r="L3" s="1852" t="s">
        <v>607</v>
      </c>
      <c r="M3" s="1853"/>
      <c r="N3" s="1059">
        <v>0.75</v>
      </c>
    </row>
    <row r="4" spans="1:20" ht="14.25" customHeight="1" thickBot="1">
      <c r="A4" s="1060" t="s">
        <v>687</v>
      </c>
      <c r="B4" s="1061"/>
      <c r="C4" s="1061"/>
      <c r="D4" s="1061"/>
      <c r="E4" s="1061"/>
      <c r="F4" s="1061"/>
      <c r="I4" s="1058"/>
      <c r="J4" s="1058"/>
      <c r="K4" s="1058"/>
      <c r="L4" s="1850" t="s">
        <v>608</v>
      </c>
      <c r="M4" s="1851"/>
      <c r="N4" s="1062">
        <v>30</v>
      </c>
    </row>
    <row r="5" spans="1:20" ht="14.25" customHeight="1" thickBot="1">
      <c r="A5" s="1061" t="s">
        <v>688</v>
      </c>
      <c r="B5" s="1061"/>
      <c r="C5" s="1061"/>
      <c r="D5" s="1061"/>
      <c r="E5" s="1061"/>
      <c r="F5" s="1061"/>
      <c r="I5" s="1063" t="s">
        <v>609</v>
      </c>
      <c r="J5" s="1064">
        <f>(Q16+Q17+Q18)*-1*0.5</f>
        <v>31762500</v>
      </c>
      <c r="K5" s="1058"/>
      <c r="L5" s="1850" t="s">
        <v>610</v>
      </c>
      <c r="M5" s="1851"/>
      <c r="N5" s="1062">
        <v>360</v>
      </c>
      <c r="O5" s="1056" t="s">
        <v>611</v>
      </c>
    </row>
    <row r="6" spans="1:20" ht="14.25" customHeight="1" thickBot="1">
      <c r="A6" s="1061" t="s">
        <v>689</v>
      </c>
      <c r="B6" s="1061"/>
      <c r="C6" s="1061" t="s">
        <v>690</v>
      </c>
      <c r="D6" s="1061"/>
      <c r="E6" s="1061"/>
      <c r="F6" s="1061"/>
      <c r="I6" s="1065" t="s">
        <v>102</v>
      </c>
      <c r="J6" s="1066">
        <f>N7</f>
        <v>1.0698899917795224</v>
      </c>
      <c r="K6" s="1058"/>
      <c r="L6" s="1850" t="s">
        <v>612</v>
      </c>
      <c r="M6" s="1851"/>
      <c r="N6" s="1062">
        <v>360</v>
      </c>
      <c r="R6" s="1843" t="s">
        <v>613</v>
      </c>
      <c r="S6" s="1844"/>
      <c r="T6" s="1845"/>
    </row>
    <row r="7" spans="1:20" ht="14.25" customHeight="1" thickBot="1">
      <c r="A7" s="1061"/>
      <c r="B7" s="1061"/>
      <c r="C7" s="1061" t="s">
        <v>691</v>
      </c>
      <c r="D7" s="1061"/>
      <c r="E7" s="1061"/>
      <c r="F7" s="1061"/>
      <c r="I7" s="1067" t="s">
        <v>614</v>
      </c>
      <c r="J7" s="1068">
        <v>6</v>
      </c>
      <c r="K7" s="1058" t="s">
        <v>615</v>
      </c>
      <c r="L7" s="1846" t="s">
        <v>616</v>
      </c>
      <c r="M7" s="1847"/>
      <c r="N7" s="1069">
        <f>((1+N3*N4/N6)^(N5/N4))-1</f>
        <v>1.0698899917795224</v>
      </c>
      <c r="R7" s="1848" t="s">
        <v>484</v>
      </c>
      <c r="S7" s="1849"/>
      <c r="T7" s="1070">
        <v>7.0000000000000007E-2</v>
      </c>
    </row>
    <row r="8" spans="1:20" ht="14.25" customHeight="1" thickBot="1">
      <c r="A8" s="1061"/>
      <c r="B8" s="1061"/>
      <c r="C8" s="1061" t="s">
        <v>692</v>
      </c>
      <c r="D8" s="1061"/>
      <c r="E8" s="1061"/>
      <c r="F8" s="1061"/>
      <c r="I8" s="1058"/>
      <c r="J8" s="1058"/>
      <c r="K8" s="1058"/>
      <c r="L8" s="1058"/>
      <c r="M8" s="1058"/>
      <c r="N8" s="1058"/>
      <c r="R8" s="1848" t="s">
        <v>617</v>
      </c>
      <c r="S8" s="1849"/>
      <c r="T8" s="1071">
        <v>60</v>
      </c>
    </row>
    <row r="9" spans="1:20" ht="14.25" customHeight="1">
      <c r="I9" s="1072" t="s">
        <v>427</v>
      </c>
      <c r="J9" s="1073" t="s">
        <v>428</v>
      </c>
      <c r="K9" s="1103" t="s">
        <v>102</v>
      </c>
      <c r="L9" s="1103" t="s">
        <v>107</v>
      </c>
      <c r="M9" s="1073" t="s">
        <v>109</v>
      </c>
      <c r="N9" s="1074" t="s">
        <v>429</v>
      </c>
      <c r="R9" s="1848" t="s">
        <v>618</v>
      </c>
      <c r="S9" s="1849"/>
      <c r="T9" s="1071">
        <v>360</v>
      </c>
    </row>
    <row r="10" spans="1:20" ht="14.25" customHeight="1" thickBot="1">
      <c r="I10" s="1075">
        <v>1</v>
      </c>
      <c r="J10" s="1076">
        <f>J5</f>
        <v>31762500</v>
      </c>
      <c r="K10" s="1076">
        <f t="shared" ref="K10:K19" si="0">J10*$J$6</f>
        <v>33982380.863897078</v>
      </c>
      <c r="L10" s="1076">
        <f t="shared" ref="L10:L19" si="1">M10-K10</f>
        <v>437650.74981439859</v>
      </c>
      <c r="M10" s="1076">
        <f>J5*J6/(1-(1+J6)^-J7)</f>
        <v>34420031.613711476</v>
      </c>
      <c r="N10" s="1077">
        <f t="shared" ref="N10:N19" si="2">J10-L10</f>
        <v>31324849.250185601</v>
      </c>
      <c r="R10" s="1854" t="s">
        <v>619</v>
      </c>
      <c r="S10" s="1855"/>
      <c r="T10" s="1078">
        <f>(1+T7)^(T9/T8)-1</f>
        <v>0.50073035184900005</v>
      </c>
    </row>
    <row r="11" spans="1:20" ht="14.25" customHeight="1">
      <c r="I11" s="1075">
        <v>2</v>
      </c>
      <c r="J11" s="1076">
        <f t="shared" ref="J11:J19" si="3">N10</f>
        <v>31324849.250185601</v>
      </c>
      <c r="K11" s="1076">
        <f t="shared" si="0"/>
        <v>33514142.706775852</v>
      </c>
      <c r="L11" s="1076">
        <f t="shared" si="1"/>
        <v>905888.90693562478</v>
      </c>
      <c r="M11" s="1076">
        <f t="shared" ref="M11:M19" si="4">+M10</f>
        <v>34420031.613711476</v>
      </c>
      <c r="N11" s="1077">
        <f t="shared" si="2"/>
        <v>30418960.343249977</v>
      </c>
    </row>
    <row r="12" spans="1:20" ht="14.25" customHeight="1">
      <c r="A12" s="1079" t="s">
        <v>386</v>
      </c>
      <c r="B12" s="1080"/>
      <c r="C12" s="1080"/>
      <c r="D12" s="1080"/>
      <c r="E12" s="1080"/>
      <c r="F12" s="1080"/>
      <c r="I12" s="1075">
        <v>3</v>
      </c>
      <c r="J12" s="1076">
        <f t="shared" si="3"/>
        <v>30418960.343249977</v>
      </c>
      <c r="K12" s="1076">
        <f t="shared" si="0"/>
        <v>32544941.231581334</v>
      </c>
      <c r="L12" s="1076">
        <f t="shared" si="1"/>
        <v>1875090.3821301423</v>
      </c>
      <c r="M12" s="1076">
        <f t="shared" si="4"/>
        <v>34420031.613711476</v>
      </c>
      <c r="N12" s="1077">
        <f t="shared" si="2"/>
        <v>28543869.961119834</v>
      </c>
    </row>
    <row r="13" spans="1:20" ht="14.25" customHeight="1">
      <c r="A13" s="1080" t="s">
        <v>693</v>
      </c>
      <c r="B13" s="1080"/>
      <c r="C13" s="1080"/>
      <c r="D13" s="1080" t="s">
        <v>694</v>
      </c>
      <c r="E13" s="1080"/>
      <c r="F13" s="1080"/>
      <c r="I13" s="1075">
        <v>4</v>
      </c>
      <c r="J13" s="1076">
        <f t="shared" si="3"/>
        <v>28543869.961119834</v>
      </c>
      <c r="K13" s="1076">
        <f t="shared" si="0"/>
        <v>30538800.798058257</v>
      </c>
      <c r="L13" s="1076">
        <f t="shared" si="1"/>
        <v>3881230.8156532198</v>
      </c>
      <c r="M13" s="1076">
        <f t="shared" si="4"/>
        <v>34420031.613711476</v>
      </c>
      <c r="N13" s="1077">
        <f t="shared" si="2"/>
        <v>24662639.145466615</v>
      </c>
    </row>
    <row r="14" spans="1:20" ht="14.25" customHeight="1">
      <c r="A14" s="1080" t="s">
        <v>695</v>
      </c>
      <c r="B14" s="1080"/>
      <c r="C14" s="1080"/>
      <c r="D14" s="1080" t="s">
        <v>696</v>
      </c>
      <c r="E14" s="1080"/>
      <c r="F14" s="1080"/>
      <c r="I14" s="1075">
        <v>5</v>
      </c>
      <c r="J14" s="1076">
        <f t="shared" si="3"/>
        <v>24662639.145466615</v>
      </c>
      <c r="K14" s="1076">
        <f t="shared" si="0"/>
        <v>26386310.792604603</v>
      </c>
      <c r="L14" s="1076">
        <f t="shared" si="1"/>
        <v>8033720.8211068735</v>
      </c>
      <c r="M14" s="1076">
        <f t="shared" si="4"/>
        <v>34420031.613711476</v>
      </c>
      <c r="N14" s="1077">
        <f t="shared" si="2"/>
        <v>16628918.324359741</v>
      </c>
    </row>
    <row r="15" spans="1:20" ht="14.25" customHeight="1">
      <c r="A15" s="1080" t="s">
        <v>697</v>
      </c>
      <c r="B15" s="1080"/>
      <c r="C15" s="1080"/>
      <c r="D15" s="1080" t="s">
        <v>698</v>
      </c>
      <c r="E15" s="1080"/>
      <c r="F15" s="1080"/>
      <c r="I15" s="1075">
        <v>6</v>
      </c>
      <c r="J15" s="1076">
        <f t="shared" si="3"/>
        <v>16628918.324359741</v>
      </c>
      <c r="K15" s="1076">
        <f t="shared" si="0"/>
        <v>17791113.289351594</v>
      </c>
      <c r="L15" s="1076">
        <f t="shared" si="1"/>
        <v>16628918.324359883</v>
      </c>
      <c r="M15" s="1076">
        <f t="shared" si="4"/>
        <v>34420031.613711476</v>
      </c>
      <c r="N15" s="1077">
        <f t="shared" si="2"/>
        <v>-1.4156103134155273E-7</v>
      </c>
    </row>
    <row r="16" spans="1:20" ht="14.25" customHeight="1">
      <c r="A16" s="1080"/>
      <c r="B16" s="1080"/>
      <c r="C16" s="1080"/>
      <c r="D16" s="1080"/>
      <c r="E16" s="1080"/>
      <c r="F16" s="1080"/>
      <c r="I16" s="1075">
        <v>7</v>
      </c>
      <c r="J16" s="1076">
        <f t="shared" si="3"/>
        <v>-1.4156103134155273E-7</v>
      </c>
      <c r="K16" s="1076">
        <f t="shared" si="0"/>
        <v>-1.5145473065831456E-7</v>
      </c>
      <c r="L16" s="1076">
        <f t="shared" si="1"/>
        <v>34420031.613711625</v>
      </c>
      <c r="M16" s="1076">
        <f t="shared" si="4"/>
        <v>34420031.613711476</v>
      </c>
      <c r="N16" s="1077">
        <f t="shared" si="2"/>
        <v>-34420031.613711767</v>
      </c>
      <c r="Q16" s="1297">
        <v>-12250000</v>
      </c>
    </row>
    <row r="17" spans="1:17" ht="14.25" customHeight="1">
      <c r="A17" s="1080"/>
      <c r="B17" s="1080"/>
      <c r="C17" s="1080"/>
      <c r="D17" s="1080"/>
      <c r="E17" s="1080"/>
      <c r="F17" s="1080"/>
      <c r="I17" s="1075">
        <v>8</v>
      </c>
      <c r="J17" s="1076">
        <f t="shared" si="3"/>
        <v>-34420031.613711767</v>
      </c>
      <c r="K17" s="1076">
        <f t="shared" si="0"/>
        <v>-36825647.340244986</v>
      </c>
      <c r="L17" s="1076">
        <f t="shared" si="1"/>
        <v>71245678.953956455</v>
      </c>
      <c r="M17" s="1076">
        <f t="shared" si="4"/>
        <v>34420031.613711476</v>
      </c>
      <c r="N17" s="1077">
        <f t="shared" si="2"/>
        <v>-105665710.56766823</v>
      </c>
      <c r="Q17" s="1297">
        <f>-28000000/2</f>
        <v>-14000000</v>
      </c>
    </row>
    <row r="18" spans="1:17" ht="14.25" customHeight="1">
      <c r="A18" s="1080"/>
      <c r="B18" s="1080"/>
      <c r="C18" s="1080"/>
      <c r="D18" s="1080"/>
      <c r="E18" s="1080"/>
      <c r="F18" s="1080"/>
      <c r="I18" s="1075">
        <v>9</v>
      </c>
      <c r="J18" s="1076">
        <f t="shared" si="3"/>
        <v>-105665710.56766823</v>
      </c>
      <c r="K18" s="1076">
        <f t="shared" si="0"/>
        <v>-113050686.21061996</v>
      </c>
      <c r="L18" s="1076">
        <f t="shared" si="1"/>
        <v>147470717.82433143</v>
      </c>
      <c r="M18" s="1076">
        <f t="shared" si="4"/>
        <v>34420031.613711476</v>
      </c>
      <c r="N18" s="1077">
        <f t="shared" si="2"/>
        <v>-253136428.39199966</v>
      </c>
      <c r="Q18" s="1297">
        <v>-37275000</v>
      </c>
    </row>
    <row r="19" spans="1:17" ht="14.25" customHeight="1">
      <c r="A19" s="1080"/>
      <c r="B19" s="1080"/>
      <c r="C19" s="1080"/>
      <c r="D19" s="1080"/>
      <c r="E19" s="1080"/>
      <c r="F19" s="1080"/>
      <c r="I19" s="1075">
        <v>10</v>
      </c>
      <c r="J19" s="1076">
        <f t="shared" si="3"/>
        <v>-253136428.39199966</v>
      </c>
      <c r="K19" s="1076">
        <f t="shared" si="0"/>
        <v>-270828131.2914142</v>
      </c>
      <c r="L19" s="1076">
        <f t="shared" si="1"/>
        <v>305248162.90512568</v>
      </c>
      <c r="M19" s="1076">
        <f t="shared" si="4"/>
        <v>34420031.613711476</v>
      </c>
      <c r="N19" s="1077">
        <f t="shared" si="2"/>
        <v>-558384591.29712534</v>
      </c>
    </row>
    <row r="20" spans="1:17" ht="14.25" customHeight="1" thickBot="1">
      <c r="A20" s="1080"/>
      <c r="B20" s="1080"/>
      <c r="C20" s="1080"/>
      <c r="D20" s="1080"/>
      <c r="E20" s="1080"/>
      <c r="F20" s="1080"/>
      <c r="I20" s="1081" t="s">
        <v>621</v>
      </c>
      <c r="J20" s="1082"/>
      <c r="K20" s="1082">
        <f>SUM(K10:K12)</f>
        <v>100041464.80225426</v>
      </c>
      <c r="L20" s="1082">
        <f>SUM(L10:L12)</f>
        <v>3218630.0388801657</v>
      </c>
      <c r="M20" s="1082">
        <f>SUM(M10:M13)</f>
        <v>137680126.45484591</v>
      </c>
      <c r="N20" s="1083"/>
    </row>
    <row r="21" spans="1:17" ht="14.25" customHeight="1" thickBot="1">
      <c r="A21" s="1080"/>
      <c r="B21" s="1080"/>
      <c r="C21" s="1080"/>
      <c r="D21" s="1080"/>
      <c r="E21" s="1080"/>
      <c r="F21" s="1080"/>
    </row>
    <row r="22" spans="1:17" ht="14.25" customHeight="1" thickBot="1">
      <c r="I22" s="1057" t="s">
        <v>108</v>
      </c>
      <c r="J22" s="1058" t="s">
        <v>1013</v>
      </c>
      <c r="K22" s="1058"/>
      <c r="L22" s="1852" t="s">
        <v>607</v>
      </c>
      <c r="M22" s="1853"/>
      <c r="N22" s="1059">
        <v>0.13</v>
      </c>
    </row>
    <row r="23" spans="1:17" ht="14.25" customHeight="1" thickBot="1">
      <c r="I23" s="1058"/>
      <c r="J23" s="1058"/>
      <c r="K23" s="1058"/>
      <c r="L23" s="1850" t="s">
        <v>608</v>
      </c>
      <c r="M23" s="1851"/>
      <c r="N23" s="1062">
        <v>360</v>
      </c>
    </row>
    <row r="24" spans="1:17" ht="14.25" customHeight="1">
      <c r="I24" s="1063" t="s">
        <v>609</v>
      </c>
      <c r="J24" s="1064">
        <v>3500000</v>
      </c>
      <c r="K24" s="1058"/>
      <c r="L24" s="1850" t="s">
        <v>610</v>
      </c>
      <c r="M24" s="1851"/>
      <c r="N24" s="1062">
        <v>360</v>
      </c>
    </row>
    <row r="25" spans="1:17" ht="14.25" customHeight="1">
      <c r="I25" s="1065" t="s">
        <v>102</v>
      </c>
      <c r="J25" s="1066">
        <f>N26</f>
        <v>0.12999999999999989</v>
      </c>
      <c r="K25" s="1058"/>
      <c r="L25" s="1850" t="s">
        <v>612</v>
      </c>
      <c r="M25" s="1851"/>
      <c r="N25" s="1062">
        <v>360</v>
      </c>
    </row>
    <row r="26" spans="1:17" ht="14.25" customHeight="1" thickBot="1">
      <c r="A26" s="1084" t="s">
        <v>699</v>
      </c>
      <c r="I26" s="1067" t="s">
        <v>614</v>
      </c>
      <c r="J26" s="1068">
        <v>10</v>
      </c>
      <c r="K26" s="1058"/>
      <c r="L26" s="1846" t="s">
        <v>616</v>
      </c>
      <c r="M26" s="1847"/>
      <c r="N26" s="1069">
        <f>((1+N22*N23/N25)^(N24/N23))-1</f>
        <v>0.12999999999999989</v>
      </c>
    </row>
    <row r="27" spans="1:17" ht="14.25" customHeight="1" thickBot="1">
      <c r="A27" s="1085"/>
      <c r="I27" s="1058"/>
      <c r="J27" s="1058"/>
      <c r="K27" s="1058"/>
      <c r="L27" s="1058"/>
      <c r="M27" s="1058"/>
      <c r="N27" s="1058"/>
    </row>
    <row r="28" spans="1:17" ht="14.25" customHeight="1">
      <c r="I28" s="1072" t="s">
        <v>427</v>
      </c>
      <c r="J28" s="1073" t="s">
        <v>428</v>
      </c>
      <c r="K28" s="1073" t="s">
        <v>102</v>
      </c>
      <c r="L28" s="1073" t="s">
        <v>107</v>
      </c>
      <c r="M28" s="1073" t="s">
        <v>109</v>
      </c>
      <c r="N28" s="1074" t="s">
        <v>429</v>
      </c>
    </row>
    <row r="29" spans="1:17" ht="14.25" customHeight="1">
      <c r="A29" s="1086" t="s">
        <v>0</v>
      </c>
      <c r="B29" s="1087">
        <v>0.12</v>
      </c>
      <c r="I29" s="1075">
        <v>1</v>
      </c>
      <c r="J29" s="1076">
        <f>J24</f>
        <v>3500000</v>
      </c>
      <c r="K29" s="1076">
        <f t="shared" ref="K29:K38" si="5">J29*$J$25</f>
        <v>454999.99999999965</v>
      </c>
      <c r="L29" s="1076">
        <f>J29/$J$26</f>
        <v>350000</v>
      </c>
      <c r="M29" s="1076">
        <f t="shared" ref="M29:M38" si="6">K29+L29</f>
        <v>804999.99999999965</v>
      </c>
      <c r="N29" s="1077">
        <f t="shared" ref="N29:N38" si="7">J29-L29</f>
        <v>3150000</v>
      </c>
    </row>
    <row r="30" spans="1:17" ht="14.25" customHeight="1">
      <c r="A30" s="1086" t="s">
        <v>700</v>
      </c>
      <c r="B30" s="1088">
        <v>360</v>
      </c>
      <c r="I30" s="1075">
        <v>2</v>
      </c>
      <c r="J30" s="1076">
        <f t="shared" ref="J30:J38" si="8">N29</f>
        <v>3150000</v>
      </c>
      <c r="K30" s="1076">
        <f t="shared" si="5"/>
        <v>409499.99999999965</v>
      </c>
      <c r="L30" s="1076">
        <f t="shared" ref="L30:L38" si="9">L29</f>
        <v>350000</v>
      </c>
      <c r="M30" s="1076">
        <f t="shared" si="6"/>
        <v>759499.99999999965</v>
      </c>
      <c r="N30" s="1077">
        <f t="shared" si="7"/>
        <v>2800000</v>
      </c>
    </row>
    <row r="31" spans="1:17" ht="14.25" customHeight="1">
      <c r="A31" s="1089" t="s">
        <v>701</v>
      </c>
      <c r="B31" s="1088">
        <v>60</v>
      </c>
      <c r="C31" s="1056" t="s">
        <v>702</v>
      </c>
      <c r="I31" s="1075">
        <v>3</v>
      </c>
      <c r="J31" s="1076">
        <f t="shared" si="8"/>
        <v>2800000</v>
      </c>
      <c r="K31" s="1076">
        <f t="shared" si="5"/>
        <v>363999.99999999971</v>
      </c>
      <c r="L31" s="1076">
        <f t="shared" si="9"/>
        <v>350000</v>
      </c>
      <c r="M31" s="1076">
        <f t="shared" si="6"/>
        <v>713999.99999999977</v>
      </c>
      <c r="N31" s="1077">
        <f t="shared" si="7"/>
        <v>2450000</v>
      </c>
    </row>
    <row r="32" spans="1:17" ht="14.25" customHeight="1">
      <c r="A32" s="1089"/>
      <c r="B32" s="1089"/>
      <c r="I32" s="1075">
        <v>4</v>
      </c>
      <c r="J32" s="1076">
        <f t="shared" si="8"/>
        <v>2450000</v>
      </c>
      <c r="K32" s="1076">
        <f t="shared" si="5"/>
        <v>318499.99999999977</v>
      </c>
      <c r="L32" s="1076">
        <f t="shared" si="9"/>
        <v>350000</v>
      </c>
      <c r="M32" s="1076">
        <f t="shared" si="6"/>
        <v>668499.99999999977</v>
      </c>
      <c r="N32" s="1077">
        <f t="shared" si="7"/>
        <v>2100000</v>
      </c>
    </row>
    <row r="33" spans="1:14" ht="14.25" customHeight="1">
      <c r="A33" s="1086" t="s">
        <v>703</v>
      </c>
      <c r="B33" s="1090">
        <f>(1+B29*B31/B30)^(B34/B31)-1</f>
        <v>0.12616241926400007</v>
      </c>
      <c r="I33" s="1075">
        <v>5</v>
      </c>
      <c r="J33" s="1076">
        <f t="shared" si="8"/>
        <v>2100000</v>
      </c>
      <c r="K33" s="1076">
        <f t="shared" si="5"/>
        <v>272999.99999999977</v>
      </c>
      <c r="L33" s="1076">
        <f t="shared" si="9"/>
        <v>350000</v>
      </c>
      <c r="M33" s="1076">
        <f t="shared" si="6"/>
        <v>622999.99999999977</v>
      </c>
      <c r="N33" s="1077">
        <f t="shared" si="7"/>
        <v>1750000</v>
      </c>
    </row>
    <row r="34" spans="1:14" ht="14.25" customHeight="1">
      <c r="A34" s="1086" t="s">
        <v>700</v>
      </c>
      <c r="B34" s="1088">
        <v>360</v>
      </c>
      <c r="I34" s="1075">
        <v>6</v>
      </c>
      <c r="J34" s="1076">
        <f t="shared" si="8"/>
        <v>1750000</v>
      </c>
      <c r="K34" s="1076">
        <f t="shared" si="5"/>
        <v>227499.99999999983</v>
      </c>
      <c r="L34" s="1076">
        <f t="shared" si="9"/>
        <v>350000</v>
      </c>
      <c r="M34" s="1076">
        <f t="shared" si="6"/>
        <v>577499.99999999977</v>
      </c>
      <c r="N34" s="1077">
        <f t="shared" si="7"/>
        <v>1400000</v>
      </c>
    </row>
    <row r="35" spans="1:14" ht="14.25" customHeight="1">
      <c r="I35" s="1075">
        <v>7</v>
      </c>
      <c r="J35" s="1076">
        <f t="shared" si="8"/>
        <v>1400000</v>
      </c>
      <c r="K35" s="1076">
        <f t="shared" si="5"/>
        <v>181999.99999999985</v>
      </c>
      <c r="L35" s="1076">
        <f t="shared" si="9"/>
        <v>350000</v>
      </c>
      <c r="M35" s="1076">
        <f t="shared" si="6"/>
        <v>531999.99999999988</v>
      </c>
      <c r="N35" s="1077">
        <f t="shared" si="7"/>
        <v>1050000</v>
      </c>
    </row>
    <row r="36" spans="1:14" ht="14.25" customHeight="1">
      <c r="I36" s="1075">
        <v>8</v>
      </c>
      <c r="J36" s="1076">
        <f t="shared" si="8"/>
        <v>1050000</v>
      </c>
      <c r="K36" s="1076">
        <f t="shared" si="5"/>
        <v>136499.99999999988</v>
      </c>
      <c r="L36" s="1076">
        <f t="shared" si="9"/>
        <v>350000</v>
      </c>
      <c r="M36" s="1076">
        <f t="shared" si="6"/>
        <v>486499.99999999988</v>
      </c>
      <c r="N36" s="1077">
        <f t="shared" si="7"/>
        <v>700000</v>
      </c>
    </row>
    <row r="37" spans="1:14" ht="14.25" customHeight="1">
      <c r="I37" s="1075">
        <v>9</v>
      </c>
      <c r="J37" s="1076">
        <f t="shared" si="8"/>
        <v>700000</v>
      </c>
      <c r="K37" s="1076">
        <f t="shared" si="5"/>
        <v>90999.999999999927</v>
      </c>
      <c r="L37" s="1076">
        <f t="shared" si="9"/>
        <v>350000</v>
      </c>
      <c r="M37" s="1076">
        <f t="shared" si="6"/>
        <v>440999.99999999994</v>
      </c>
      <c r="N37" s="1077">
        <f t="shared" si="7"/>
        <v>350000</v>
      </c>
    </row>
    <row r="38" spans="1:14" ht="14.25" customHeight="1">
      <c r="I38" s="1075">
        <v>10</v>
      </c>
      <c r="J38" s="1076">
        <f t="shared" si="8"/>
        <v>350000</v>
      </c>
      <c r="K38" s="1076">
        <f t="shared" si="5"/>
        <v>45499.999999999964</v>
      </c>
      <c r="L38" s="1076">
        <f t="shared" si="9"/>
        <v>350000</v>
      </c>
      <c r="M38" s="1076">
        <f t="shared" si="6"/>
        <v>395499.99999999994</v>
      </c>
      <c r="N38" s="1077">
        <f t="shared" si="7"/>
        <v>0</v>
      </c>
    </row>
    <row r="39" spans="1:14" ht="14.25" customHeight="1" thickBot="1">
      <c r="I39" s="1091" t="s">
        <v>621</v>
      </c>
      <c r="J39" s="1082"/>
      <c r="K39" s="1082">
        <f>SUM(K29:K32)</f>
        <v>1546999.9999999988</v>
      </c>
      <c r="L39" s="1082">
        <f>SUM(L29:L32)</f>
        <v>1400000</v>
      </c>
      <c r="M39" s="1082">
        <f>SUM(M29:M32)</f>
        <v>2946999.9999999991</v>
      </c>
      <c r="N39" s="1083"/>
    </row>
    <row r="40" spans="1:14" ht="14.25" customHeight="1" thickBot="1"/>
    <row r="41" spans="1:14" ht="14.25" customHeight="1" thickBot="1">
      <c r="I41" s="1057" t="s">
        <v>36</v>
      </c>
      <c r="J41" s="1058" t="s">
        <v>1012</v>
      </c>
      <c r="K41" s="1058"/>
      <c r="L41" s="1852" t="s">
        <v>607</v>
      </c>
      <c r="M41" s="1853"/>
      <c r="N41" s="1059">
        <v>0.08</v>
      </c>
    </row>
    <row r="42" spans="1:14" ht="14.25" customHeight="1" thickBot="1">
      <c r="I42" s="1058"/>
      <c r="J42" s="1058"/>
      <c r="K42" s="1058"/>
      <c r="L42" s="1850" t="s">
        <v>608</v>
      </c>
      <c r="M42" s="1851"/>
      <c r="N42" s="1062">
        <v>30</v>
      </c>
    </row>
    <row r="43" spans="1:14" ht="14.25" customHeight="1">
      <c r="A43" s="1058"/>
      <c r="B43" s="1092"/>
      <c r="I43" s="1063" t="s">
        <v>609</v>
      </c>
      <c r="J43" s="1064">
        <v>15000</v>
      </c>
      <c r="K43" s="1058"/>
      <c r="L43" s="1850" t="s">
        <v>610</v>
      </c>
      <c r="M43" s="1851"/>
      <c r="N43" s="1062">
        <v>360</v>
      </c>
    </row>
    <row r="44" spans="1:14" ht="14.25" customHeight="1">
      <c r="A44" s="1058"/>
      <c r="B44" s="1058"/>
      <c r="I44" s="1065" t="s">
        <v>102</v>
      </c>
      <c r="J44" s="1066">
        <v>0.1</v>
      </c>
      <c r="K44" s="1058"/>
      <c r="L44" s="1850" t="s">
        <v>612</v>
      </c>
      <c r="M44" s="1851"/>
      <c r="N44" s="1062">
        <v>360</v>
      </c>
    </row>
    <row r="45" spans="1:14" ht="14.25" customHeight="1" thickBot="1">
      <c r="A45" s="1058"/>
      <c r="B45" s="1093"/>
      <c r="I45" s="1067" t="s">
        <v>614</v>
      </c>
      <c r="J45" s="1068">
        <v>3</v>
      </c>
      <c r="K45" s="1058"/>
      <c r="L45" s="1846" t="s">
        <v>616</v>
      </c>
      <c r="M45" s="1847"/>
      <c r="N45" s="1069">
        <f>((1+N41*N42/N44)^(N43/N42))-1</f>
        <v>8.2999506807510004E-2</v>
      </c>
    </row>
    <row r="46" spans="1:14" ht="14.25" customHeight="1" thickBot="1">
      <c r="A46" s="1058"/>
      <c r="B46" s="1058"/>
      <c r="I46" s="1058"/>
      <c r="J46" s="1058"/>
      <c r="K46" s="1058"/>
      <c r="L46" s="1058"/>
      <c r="M46" s="1058"/>
      <c r="N46" s="1058"/>
    </row>
    <row r="47" spans="1:14" ht="14.25" customHeight="1">
      <c r="I47" s="1094" t="s">
        <v>427</v>
      </c>
      <c r="J47" s="1095" t="s">
        <v>428</v>
      </c>
      <c r="K47" s="1095" t="s">
        <v>102</v>
      </c>
      <c r="L47" s="1095" t="s">
        <v>107</v>
      </c>
      <c r="M47" s="1095" t="s">
        <v>109</v>
      </c>
      <c r="N47" s="1096" t="s">
        <v>429</v>
      </c>
    </row>
    <row r="48" spans="1:14" ht="14.25" customHeight="1">
      <c r="I48" s="1097">
        <v>1</v>
      </c>
      <c r="J48" s="1098">
        <f>J43</f>
        <v>15000</v>
      </c>
      <c r="K48" s="1098">
        <f>J48*$J$44</f>
        <v>1500</v>
      </c>
      <c r="L48" s="1098">
        <v>0</v>
      </c>
      <c r="M48" s="1098">
        <v>0</v>
      </c>
      <c r="N48" s="1099">
        <f>J48-L48</f>
        <v>15000</v>
      </c>
    </row>
    <row r="49" spans="9:14" ht="14.25" customHeight="1">
      <c r="I49" s="1097">
        <v>2</v>
      </c>
      <c r="J49" s="1098">
        <f>N48</f>
        <v>15000</v>
      </c>
      <c r="K49" s="1098">
        <f>K48</f>
        <v>1500</v>
      </c>
      <c r="L49" s="1098">
        <f>L48</f>
        <v>0</v>
      </c>
      <c r="M49" s="1098">
        <v>0</v>
      </c>
      <c r="N49" s="1099">
        <f>J49-L49</f>
        <v>15000</v>
      </c>
    </row>
    <row r="50" spans="9:14" ht="14.25" customHeight="1" thickBot="1">
      <c r="I50" s="1100">
        <v>3</v>
      </c>
      <c r="J50" s="1101">
        <f>N49</f>
        <v>15000</v>
      </c>
      <c r="K50" s="1101">
        <f>K49</f>
        <v>1500</v>
      </c>
      <c r="L50" s="1101">
        <f>15000</f>
        <v>15000</v>
      </c>
      <c r="M50" s="1101">
        <v>0</v>
      </c>
      <c r="N50" s="1102">
        <f>J50-L50</f>
        <v>0</v>
      </c>
    </row>
    <row r="51" spans="9:14" ht="14.25" customHeight="1"/>
    <row r="52" spans="9:14" ht="14.25" customHeight="1"/>
    <row r="53" spans="9:14" ht="14.25" customHeight="1"/>
    <row r="54" spans="9:14" ht="14.25" customHeight="1"/>
    <row r="55" spans="9:14" ht="14.25" customHeight="1"/>
    <row r="56" spans="9:14" ht="14.25" customHeight="1"/>
    <row r="57" spans="9:14" ht="14.25" customHeight="1"/>
    <row r="58" spans="9:14" ht="14.25" customHeight="1"/>
    <row r="59" spans="9:14" ht="14.25" customHeight="1"/>
    <row r="60" spans="9:14" ht="14.25" customHeight="1"/>
    <row r="61" spans="9:14" ht="14.25" customHeight="1"/>
    <row r="62" spans="9:14" ht="14.25" customHeight="1"/>
    <row r="63" spans="9:14" ht="14.25" customHeight="1"/>
    <row r="64" spans="9:1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sheetData>
  <mergeCells count="20">
    <mergeCell ref="L45:M45"/>
    <mergeCell ref="L25:M25"/>
    <mergeCell ref="L26:M26"/>
    <mergeCell ref="L41:M41"/>
    <mergeCell ref="L42:M42"/>
    <mergeCell ref="L43:M43"/>
    <mergeCell ref="L44:M44"/>
    <mergeCell ref="R6:T6"/>
    <mergeCell ref="L7:M7"/>
    <mergeCell ref="R7:S7"/>
    <mergeCell ref="L24:M24"/>
    <mergeCell ref="L3:M3"/>
    <mergeCell ref="L4:M4"/>
    <mergeCell ref="L5:M5"/>
    <mergeCell ref="L6:M6"/>
    <mergeCell ref="R8:S8"/>
    <mergeCell ref="R9:S9"/>
    <mergeCell ref="R10:S10"/>
    <mergeCell ref="L22:M22"/>
    <mergeCell ref="L23:M23"/>
  </mergeCells>
  <hyperlinks>
    <hyperlink ref="A26" r:id="rId1" xr:uid="{1E60E6D4-1CA1-4818-A428-1FAA7194FA7E}"/>
  </hyperlinks>
  <pageMargins left="0.7" right="0.7" top="0.75" bottom="0.75" header="0" footer="0"/>
  <pageSetup orientation="landscape"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2ACE-A29A-4882-8A28-AA54B8257180}">
  <dimension ref="A1:T1013"/>
  <sheetViews>
    <sheetView topLeftCell="H1" workbookViewId="0">
      <selection activeCell="L11" sqref="L11"/>
    </sheetView>
  </sheetViews>
  <sheetFormatPr defaultColWidth="14.42578125" defaultRowHeight="15" customHeight="1"/>
  <cols>
    <col min="1" max="9" width="12.140625" style="1056" customWidth="1"/>
    <col min="10" max="10" width="16" style="1056" bestFit="1" customWidth="1"/>
    <col min="11" max="11" width="19.42578125" style="1056" customWidth="1"/>
    <col min="12" max="12" width="17.85546875" style="1056" customWidth="1"/>
    <col min="13" max="13" width="17" style="1056" customWidth="1"/>
    <col min="14" max="14" width="16.5703125" style="1056" customWidth="1"/>
    <col min="15" max="16" width="12.140625" style="1056" customWidth="1"/>
    <col min="17" max="17" width="17.7109375" style="1056" bestFit="1" customWidth="1"/>
    <col min="18" max="18" width="12.140625" style="1056" customWidth="1"/>
    <col min="19" max="19" width="27.7109375" style="1056" customWidth="1"/>
    <col min="20" max="26" width="12.140625" style="1056" customWidth="1"/>
    <col min="27" max="16384" width="14.42578125" style="1056"/>
  </cols>
  <sheetData>
    <row r="1" spans="1:20" ht="14.25" customHeight="1"/>
    <row r="2" spans="1:20" ht="14.25" customHeight="1" thickBot="1"/>
    <row r="3" spans="1:20" ht="14.25" customHeight="1" thickBot="1">
      <c r="I3" s="1057" t="s">
        <v>103</v>
      </c>
      <c r="J3" s="1058" t="s">
        <v>606</v>
      </c>
      <c r="K3" s="1058"/>
      <c r="L3" s="1852" t="s">
        <v>607</v>
      </c>
      <c r="M3" s="1853"/>
      <c r="N3" s="1059">
        <v>0.75</v>
      </c>
    </row>
    <row r="4" spans="1:20" ht="14.25" customHeight="1" thickBot="1">
      <c r="A4" s="1060" t="s">
        <v>687</v>
      </c>
      <c r="B4" s="1061"/>
      <c r="C4" s="1061"/>
      <c r="D4" s="1061"/>
      <c r="E4" s="1061"/>
      <c r="F4" s="1061"/>
      <c r="I4" s="1058"/>
      <c r="J4" s="1058"/>
      <c r="K4" s="1058"/>
      <c r="L4" s="1850" t="s">
        <v>608</v>
      </c>
      <c r="M4" s="1851"/>
      <c r="N4" s="1062">
        <v>30</v>
      </c>
    </row>
    <row r="5" spans="1:20" ht="14.25" customHeight="1" thickBot="1">
      <c r="A5" s="1061" t="s">
        <v>688</v>
      </c>
      <c r="B5" s="1061"/>
      <c r="C5" s="1061"/>
      <c r="D5" s="1061"/>
      <c r="E5" s="1061"/>
      <c r="F5" s="1061"/>
      <c r="I5" s="1063" t="s">
        <v>609</v>
      </c>
      <c r="J5" s="1064">
        <f>(Q16+Q17+Q18)*-1*0.5</f>
        <v>38762500</v>
      </c>
      <c r="K5" s="1058"/>
      <c r="L5" s="1850" t="s">
        <v>610</v>
      </c>
      <c r="M5" s="1851"/>
      <c r="N5" s="1062">
        <v>360</v>
      </c>
      <c r="O5" s="1056" t="s">
        <v>611</v>
      </c>
    </row>
    <row r="6" spans="1:20" ht="14.25" customHeight="1" thickBot="1">
      <c r="A6" s="1061" t="s">
        <v>689</v>
      </c>
      <c r="B6" s="1061"/>
      <c r="C6" s="1061" t="s">
        <v>690</v>
      </c>
      <c r="D6" s="1061"/>
      <c r="E6" s="1061"/>
      <c r="F6" s="1061"/>
      <c r="I6" s="1065" t="s">
        <v>102</v>
      </c>
      <c r="J6" s="1066">
        <f>N7</f>
        <v>1.0698899917795224</v>
      </c>
      <c r="K6" s="1058"/>
      <c r="L6" s="1850" t="s">
        <v>612</v>
      </c>
      <c r="M6" s="1851"/>
      <c r="N6" s="1062">
        <v>360</v>
      </c>
      <c r="R6" s="1843" t="s">
        <v>613</v>
      </c>
      <c r="S6" s="1844"/>
      <c r="T6" s="1845"/>
    </row>
    <row r="7" spans="1:20" ht="14.25" customHeight="1" thickBot="1">
      <c r="A7" s="1061"/>
      <c r="B7" s="1061"/>
      <c r="C7" s="1061" t="s">
        <v>691</v>
      </c>
      <c r="D7" s="1061"/>
      <c r="E7" s="1061"/>
      <c r="F7" s="1061"/>
      <c r="I7" s="1067" t="s">
        <v>614</v>
      </c>
      <c r="J7" s="1068">
        <v>6</v>
      </c>
      <c r="K7" s="1058" t="s">
        <v>615</v>
      </c>
      <c r="L7" s="1846" t="s">
        <v>616</v>
      </c>
      <c r="M7" s="1847"/>
      <c r="N7" s="1069">
        <f>((1+N3*N4/N6)^(N5/N4))-1</f>
        <v>1.0698899917795224</v>
      </c>
      <c r="R7" s="1848" t="s">
        <v>484</v>
      </c>
      <c r="S7" s="1849"/>
      <c r="T7" s="1070">
        <v>7.0000000000000007E-2</v>
      </c>
    </row>
    <row r="8" spans="1:20" ht="14.25" customHeight="1" thickBot="1">
      <c r="A8" s="1061"/>
      <c r="B8" s="1061"/>
      <c r="C8" s="1061" t="s">
        <v>692</v>
      </c>
      <c r="D8" s="1061"/>
      <c r="E8" s="1061"/>
      <c r="F8" s="1061"/>
      <c r="I8" s="1058"/>
      <c r="J8" s="1058"/>
      <c r="K8" s="1058"/>
      <c r="L8" s="1058"/>
      <c r="M8" s="1058"/>
      <c r="N8" s="1058"/>
      <c r="R8" s="1848" t="s">
        <v>617</v>
      </c>
      <c r="S8" s="1849"/>
      <c r="T8" s="1071">
        <v>60</v>
      </c>
    </row>
    <row r="9" spans="1:20" ht="14.25" customHeight="1">
      <c r="I9" s="1072" t="s">
        <v>427</v>
      </c>
      <c r="J9" s="1073" t="s">
        <v>428</v>
      </c>
      <c r="K9" s="1103" t="s">
        <v>102</v>
      </c>
      <c r="L9" s="1103" t="s">
        <v>107</v>
      </c>
      <c r="M9" s="1073" t="s">
        <v>109</v>
      </c>
      <c r="N9" s="1074" t="s">
        <v>429</v>
      </c>
      <c r="R9" s="1848" t="s">
        <v>618</v>
      </c>
      <c r="S9" s="1849"/>
      <c r="T9" s="1071">
        <v>360</v>
      </c>
    </row>
    <row r="10" spans="1:20" ht="14.25" customHeight="1" thickBot="1">
      <c r="I10" s="1075">
        <v>1</v>
      </c>
      <c r="J10" s="1076">
        <f>J5</f>
        <v>38762500</v>
      </c>
      <c r="K10" s="1076">
        <f t="shared" ref="K10:K19" si="0">J10*$J$6</f>
        <v>41471610.806353733</v>
      </c>
      <c r="L10" s="1076">
        <f t="shared" ref="L10:L19" si="1">M10-K10</f>
        <v>534102.70569635928</v>
      </c>
      <c r="M10" s="1076">
        <f>J5*J6/(1-(1+J6)^-J7)</f>
        <v>42005713.512050092</v>
      </c>
      <c r="N10" s="1077">
        <f t="shared" ref="N10:N19" si="2">J10-L10</f>
        <v>38228397.294303641</v>
      </c>
      <c r="R10" s="1854" t="s">
        <v>619</v>
      </c>
      <c r="S10" s="1855"/>
      <c r="T10" s="1078">
        <f>(1+T7)^(T9/T8)-1</f>
        <v>0.50073035184900005</v>
      </c>
    </row>
    <row r="11" spans="1:20" ht="14.25" customHeight="1">
      <c r="I11" s="1075">
        <v>2</v>
      </c>
      <c r="J11" s="1076">
        <f t="shared" ref="J11:J19" si="3">N10</f>
        <v>38228397.294303641</v>
      </c>
      <c r="K11" s="1076">
        <f t="shared" si="0"/>
        <v>40900179.666946836</v>
      </c>
      <c r="L11" s="1076">
        <f t="shared" si="1"/>
        <v>1105533.8451032564</v>
      </c>
      <c r="M11" s="1076">
        <f t="shared" ref="M11:M19" si="4">+M10</f>
        <v>42005713.512050092</v>
      </c>
      <c r="N11" s="1077">
        <f t="shared" si="2"/>
        <v>37122863.449200384</v>
      </c>
    </row>
    <row r="12" spans="1:20" ht="14.25" customHeight="1">
      <c r="A12" s="1079" t="s">
        <v>386</v>
      </c>
      <c r="B12" s="1080"/>
      <c r="C12" s="1080"/>
      <c r="D12" s="1080"/>
      <c r="E12" s="1080"/>
      <c r="F12" s="1080"/>
      <c r="I12" s="1075">
        <v>3</v>
      </c>
      <c r="J12" s="1076">
        <f t="shared" si="3"/>
        <v>37122863.449200384</v>
      </c>
      <c r="K12" s="1076">
        <f t="shared" si="0"/>
        <v>39717380.070497334</v>
      </c>
      <c r="L12" s="1076">
        <f t="shared" si="1"/>
        <v>2288333.4415527582</v>
      </c>
      <c r="M12" s="1076">
        <f t="shared" si="4"/>
        <v>42005713.512050092</v>
      </c>
      <c r="N12" s="1077">
        <f t="shared" si="2"/>
        <v>34834530.007647626</v>
      </c>
    </row>
    <row r="13" spans="1:20" ht="14.25" customHeight="1">
      <c r="A13" s="1080" t="s">
        <v>693</v>
      </c>
      <c r="B13" s="1080"/>
      <c r="C13" s="1080"/>
      <c r="D13" s="1080" t="s">
        <v>694</v>
      </c>
      <c r="E13" s="1080"/>
      <c r="F13" s="1080"/>
      <c r="I13" s="1075">
        <v>4</v>
      </c>
      <c r="J13" s="1076">
        <f t="shared" si="3"/>
        <v>34834530.007647626</v>
      </c>
      <c r="K13" s="1076">
        <f t="shared" si="0"/>
        <v>37269115.023525648</v>
      </c>
      <c r="L13" s="1076">
        <f t="shared" si="1"/>
        <v>4736598.4885244444</v>
      </c>
      <c r="M13" s="1076">
        <f t="shared" si="4"/>
        <v>42005713.512050092</v>
      </c>
      <c r="N13" s="1077">
        <f t="shared" si="2"/>
        <v>30097931.519123182</v>
      </c>
    </row>
    <row r="14" spans="1:20" ht="14.25" customHeight="1">
      <c r="A14" s="1080" t="s">
        <v>695</v>
      </c>
      <c r="B14" s="1080"/>
      <c r="C14" s="1080"/>
      <c r="D14" s="1080" t="s">
        <v>696</v>
      </c>
      <c r="E14" s="1080"/>
      <c r="F14" s="1080"/>
      <c r="I14" s="1075">
        <v>5</v>
      </c>
      <c r="J14" s="1076">
        <f t="shared" si="3"/>
        <v>30097931.519123182</v>
      </c>
      <c r="K14" s="1076">
        <f t="shared" si="0"/>
        <v>32201475.705575328</v>
      </c>
      <c r="L14" s="1076">
        <f t="shared" si="1"/>
        <v>9804237.8064747639</v>
      </c>
      <c r="M14" s="1076">
        <f t="shared" si="4"/>
        <v>42005713.512050092</v>
      </c>
      <c r="N14" s="1077">
        <f t="shared" si="2"/>
        <v>20293693.712648418</v>
      </c>
    </row>
    <row r="15" spans="1:20" ht="14.25" customHeight="1">
      <c r="A15" s="1080" t="s">
        <v>697</v>
      </c>
      <c r="B15" s="1080"/>
      <c r="C15" s="1080"/>
      <c r="D15" s="1080" t="s">
        <v>698</v>
      </c>
      <c r="E15" s="1080"/>
      <c r="F15" s="1080"/>
      <c r="I15" s="1075">
        <v>6</v>
      </c>
      <c r="J15" s="1076">
        <f t="shared" si="3"/>
        <v>20293693.712648418</v>
      </c>
      <c r="K15" s="1076">
        <f t="shared" si="0"/>
        <v>21712019.799401559</v>
      </c>
      <c r="L15" s="1076">
        <f t="shared" si="1"/>
        <v>20293693.712648533</v>
      </c>
      <c r="M15" s="1076">
        <f t="shared" si="4"/>
        <v>42005713.512050092</v>
      </c>
      <c r="N15" s="1077">
        <f t="shared" si="2"/>
        <v>-1.1548399925231934E-7</v>
      </c>
    </row>
    <row r="16" spans="1:20" ht="14.25" customHeight="1">
      <c r="A16" s="1080"/>
      <c r="B16" s="1080"/>
      <c r="C16" s="1080"/>
      <c r="D16" s="1080"/>
      <c r="E16" s="1080"/>
      <c r="F16" s="1080"/>
      <c r="I16" s="1075">
        <v>7</v>
      </c>
      <c r="J16" s="1076">
        <f t="shared" si="3"/>
        <v>-1.1548399925231934E-7</v>
      </c>
      <c r="K16" s="1076">
        <f t="shared" si="0"/>
        <v>-1.2355517501073032E-7</v>
      </c>
      <c r="L16" s="1076">
        <f t="shared" si="1"/>
        <v>42005713.512050219</v>
      </c>
      <c r="M16" s="1076">
        <f t="shared" si="4"/>
        <v>42005713.512050092</v>
      </c>
      <c r="N16" s="1077">
        <f t="shared" si="2"/>
        <v>-42005713.512050331</v>
      </c>
      <c r="Q16" s="1297">
        <v>-12250000</v>
      </c>
    </row>
    <row r="17" spans="1:17" ht="14.25" customHeight="1">
      <c r="A17" s="1080"/>
      <c r="B17" s="1080"/>
      <c r="C17" s="1080"/>
      <c r="D17" s="1080"/>
      <c r="E17" s="1080"/>
      <c r="F17" s="1080"/>
      <c r="I17" s="1075">
        <v>8</v>
      </c>
      <c r="J17" s="1076">
        <f t="shared" si="3"/>
        <v>-42005713.512050331</v>
      </c>
      <c r="K17" s="1076">
        <f t="shared" si="0"/>
        <v>-44941492.484100498</v>
      </c>
      <c r="L17" s="1076">
        <f t="shared" si="1"/>
        <v>86947205.996150583</v>
      </c>
      <c r="M17" s="1076">
        <f t="shared" si="4"/>
        <v>42005713.512050092</v>
      </c>
      <c r="N17" s="1077">
        <f t="shared" si="2"/>
        <v>-128952919.50820091</v>
      </c>
      <c r="Q17" s="1297">
        <v>-28000000</v>
      </c>
    </row>
    <row r="18" spans="1:17" ht="14.25" customHeight="1">
      <c r="A18" s="1080"/>
      <c r="B18" s="1080"/>
      <c r="C18" s="1080"/>
      <c r="D18" s="1080"/>
      <c r="E18" s="1080"/>
      <c r="F18" s="1080"/>
      <c r="I18" s="1075">
        <v>9</v>
      </c>
      <c r="J18" s="1076">
        <f t="shared" si="3"/>
        <v>-128952919.50820091</v>
      </c>
      <c r="K18" s="1076">
        <f t="shared" si="0"/>
        <v>-137965437.99257448</v>
      </c>
      <c r="L18" s="1076">
        <f t="shared" si="1"/>
        <v>179971151.50462458</v>
      </c>
      <c r="M18" s="1076">
        <f t="shared" si="4"/>
        <v>42005713.512050092</v>
      </c>
      <c r="N18" s="1077">
        <f t="shared" si="2"/>
        <v>-308924071.01282549</v>
      </c>
      <c r="Q18" s="1297">
        <v>-37275000</v>
      </c>
    </row>
    <row r="19" spans="1:17" ht="14.25" customHeight="1">
      <c r="A19" s="1080"/>
      <c r="B19" s="1080"/>
      <c r="C19" s="1080"/>
      <c r="D19" s="1080"/>
      <c r="E19" s="1080"/>
      <c r="F19" s="1080"/>
      <c r="I19" s="1075">
        <v>10</v>
      </c>
      <c r="J19" s="1076">
        <f t="shared" si="3"/>
        <v>-308924071.01282549</v>
      </c>
      <c r="K19" s="1076">
        <f t="shared" si="0"/>
        <v>-330514771.79640847</v>
      </c>
      <c r="L19" s="1076">
        <f t="shared" si="1"/>
        <v>372520485.30845857</v>
      </c>
      <c r="M19" s="1076">
        <f t="shared" si="4"/>
        <v>42005713.512050092</v>
      </c>
      <c r="N19" s="1077">
        <f t="shared" si="2"/>
        <v>-681444556.32128406</v>
      </c>
    </row>
    <row r="20" spans="1:17" ht="14.25" customHeight="1" thickBot="1">
      <c r="A20" s="1080"/>
      <c r="B20" s="1080"/>
      <c r="C20" s="1080"/>
      <c r="D20" s="1080"/>
      <c r="E20" s="1080"/>
      <c r="F20" s="1080"/>
      <c r="I20" s="1081" t="s">
        <v>621</v>
      </c>
      <c r="J20" s="1082"/>
      <c r="K20" s="1082">
        <f>SUM(K10:K12)</f>
        <v>122089170.54379791</v>
      </c>
      <c r="L20" s="1082">
        <f>SUM(L10:L12)</f>
        <v>3927969.9923523739</v>
      </c>
      <c r="M20" s="1082">
        <f>SUM(M10:M13)</f>
        <v>168022854.04820037</v>
      </c>
      <c r="N20" s="1083"/>
    </row>
    <row r="21" spans="1:17" ht="14.25" customHeight="1" thickBot="1">
      <c r="A21" s="1080"/>
      <c r="B21" s="1080"/>
      <c r="C21" s="1080"/>
      <c r="D21" s="1080"/>
      <c r="E21" s="1080"/>
      <c r="F21" s="1080"/>
    </row>
    <row r="22" spans="1:17" ht="14.25" customHeight="1" thickBot="1">
      <c r="I22" s="1057" t="s">
        <v>108</v>
      </c>
      <c r="J22" s="1058" t="s">
        <v>1013</v>
      </c>
      <c r="K22" s="1058"/>
      <c r="L22" s="1852" t="s">
        <v>607</v>
      </c>
      <c r="M22" s="1853"/>
      <c r="N22" s="1059">
        <v>0.13</v>
      </c>
    </row>
    <row r="23" spans="1:17" ht="14.25" customHeight="1" thickBot="1">
      <c r="I23" s="1058"/>
      <c r="J23" s="1058"/>
      <c r="K23" s="1058"/>
      <c r="L23" s="1850" t="s">
        <v>608</v>
      </c>
      <c r="M23" s="1851"/>
      <c r="N23" s="1062">
        <v>360</v>
      </c>
    </row>
    <row r="24" spans="1:17" ht="14.25" customHeight="1">
      <c r="I24" s="1063" t="s">
        <v>609</v>
      </c>
      <c r="J24" s="1064">
        <v>3500000</v>
      </c>
      <c r="K24" s="1058"/>
      <c r="L24" s="1850" t="s">
        <v>610</v>
      </c>
      <c r="M24" s="1851"/>
      <c r="N24" s="1062">
        <v>360</v>
      </c>
    </row>
    <row r="25" spans="1:17" ht="14.25" customHeight="1">
      <c r="I25" s="1065" t="s">
        <v>102</v>
      </c>
      <c r="J25" s="1066">
        <f>N26</f>
        <v>0.12999999999999989</v>
      </c>
      <c r="K25" s="1058"/>
      <c r="L25" s="1850" t="s">
        <v>612</v>
      </c>
      <c r="M25" s="1851"/>
      <c r="N25" s="1062">
        <v>360</v>
      </c>
    </row>
    <row r="26" spans="1:17" ht="14.25" customHeight="1" thickBot="1">
      <c r="A26" s="1084" t="s">
        <v>699</v>
      </c>
      <c r="I26" s="1067" t="s">
        <v>614</v>
      </c>
      <c r="J26" s="1068">
        <v>10</v>
      </c>
      <c r="K26" s="1058"/>
      <c r="L26" s="1846" t="s">
        <v>616</v>
      </c>
      <c r="M26" s="1847"/>
      <c r="N26" s="1069">
        <f>((1+N22*N23/N25)^(N24/N23))-1</f>
        <v>0.12999999999999989</v>
      </c>
    </row>
    <row r="27" spans="1:17" ht="14.25" customHeight="1" thickBot="1">
      <c r="A27" s="1085"/>
      <c r="I27" s="1058"/>
      <c r="J27" s="1058"/>
      <c r="K27" s="1058"/>
      <c r="L27" s="1058"/>
      <c r="M27" s="1058"/>
      <c r="N27" s="1058"/>
    </row>
    <row r="28" spans="1:17" ht="14.25" customHeight="1">
      <c r="I28" s="1072" t="s">
        <v>427</v>
      </c>
      <c r="J28" s="1073" t="s">
        <v>428</v>
      </c>
      <c r="K28" s="1073" t="s">
        <v>102</v>
      </c>
      <c r="L28" s="1073" t="s">
        <v>107</v>
      </c>
      <c r="M28" s="1073" t="s">
        <v>109</v>
      </c>
      <c r="N28" s="1074" t="s">
        <v>429</v>
      </c>
    </row>
    <row r="29" spans="1:17" ht="14.25" customHeight="1">
      <c r="A29" s="1086" t="s">
        <v>0</v>
      </c>
      <c r="B29" s="1087">
        <v>0.12</v>
      </c>
      <c r="I29" s="1075">
        <v>1</v>
      </c>
      <c r="J29" s="1076">
        <f>J24</f>
        <v>3500000</v>
      </c>
      <c r="K29" s="1076">
        <f t="shared" ref="K29:K38" si="5">J29*$J$25</f>
        <v>454999.99999999965</v>
      </c>
      <c r="L29" s="1076">
        <f>J29/$J$26</f>
        <v>350000</v>
      </c>
      <c r="M29" s="1076">
        <f t="shared" ref="M29:M38" si="6">K29+L29</f>
        <v>804999.99999999965</v>
      </c>
      <c r="N29" s="1077">
        <f t="shared" ref="N29:N38" si="7">J29-L29</f>
        <v>3150000</v>
      </c>
    </row>
    <row r="30" spans="1:17" ht="14.25" customHeight="1">
      <c r="A30" s="1086" t="s">
        <v>700</v>
      </c>
      <c r="B30" s="1088">
        <v>360</v>
      </c>
      <c r="I30" s="1075">
        <v>2</v>
      </c>
      <c r="J30" s="1076">
        <f t="shared" ref="J30:J38" si="8">N29</f>
        <v>3150000</v>
      </c>
      <c r="K30" s="1076">
        <f t="shared" si="5"/>
        <v>409499.99999999965</v>
      </c>
      <c r="L30" s="1076">
        <f t="shared" ref="L30:L38" si="9">L29</f>
        <v>350000</v>
      </c>
      <c r="M30" s="1076">
        <f t="shared" si="6"/>
        <v>759499.99999999965</v>
      </c>
      <c r="N30" s="1077">
        <f t="shared" si="7"/>
        <v>2800000</v>
      </c>
    </row>
    <row r="31" spans="1:17" ht="14.25" customHeight="1">
      <c r="A31" s="1089" t="s">
        <v>701</v>
      </c>
      <c r="B31" s="1088">
        <v>60</v>
      </c>
      <c r="C31" s="1056" t="s">
        <v>702</v>
      </c>
      <c r="I31" s="1075">
        <v>3</v>
      </c>
      <c r="J31" s="1076">
        <f t="shared" si="8"/>
        <v>2800000</v>
      </c>
      <c r="K31" s="1076">
        <f t="shared" si="5"/>
        <v>363999.99999999971</v>
      </c>
      <c r="L31" s="1076">
        <f t="shared" si="9"/>
        <v>350000</v>
      </c>
      <c r="M31" s="1076">
        <f t="shared" si="6"/>
        <v>713999.99999999977</v>
      </c>
      <c r="N31" s="1077">
        <f t="shared" si="7"/>
        <v>2450000</v>
      </c>
    </row>
    <row r="32" spans="1:17" ht="14.25" customHeight="1">
      <c r="A32" s="1089"/>
      <c r="B32" s="1089"/>
      <c r="I32" s="1075">
        <v>4</v>
      </c>
      <c r="J32" s="1076">
        <f t="shared" si="8"/>
        <v>2450000</v>
      </c>
      <c r="K32" s="1076">
        <f t="shared" si="5"/>
        <v>318499.99999999977</v>
      </c>
      <c r="L32" s="1076">
        <f t="shared" si="9"/>
        <v>350000</v>
      </c>
      <c r="M32" s="1076">
        <f t="shared" si="6"/>
        <v>668499.99999999977</v>
      </c>
      <c r="N32" s="1077">
        <f t="shared" si="7"/>
        <v>2100000</v>
      </c>
    </row>
    <row r="33" spans="1:14" ht="14.25" customHeight="1">
      <c r="A33" s="1086" t="s">
        <v>703</v>
      </c>
      <c r="B33" s="1090">
        <f>(1+B29*B31/B30)^(B34/B31)-1</f>
        <v>0.12616241926400007</v>
      </c>
      <c r="I33" s="1075">
        <v>5</v>
      </c>
      <c r="J33" s="1076">
        <f t="shared" si="8"/>
        <v>2100000</v>
      </c>
      <c r="K33" s="1076">
        <f t="shared" si="5"/>
        <v>272999.99999999977</v>
      </c>
      <c r="L33" s="1076">
        <f t="shared" si="9"/>
        <v>350000</v>
      </c>
      <c r="M33" s="1076">
        <f t="shared" si="6"/>
        <v>622999.99999999977</v>
      </c>
      <c r="N33" s="1077">
        <f t="shared" si="7"/>
        <v>1750000</v>
      </c>
    </row>
    <row r="34" spans="1:14" ht="14.25" customHeight="1">
      <c r="A34" s="1086" t="s">
        <v>700</v>
      </c>
      <c r="B34" s="1088">
        <v>360</v>
      </c>
      <c r="I34" s="1075">
        <v>6</v>
      </c>
      <c r="J34" s="1076">
        <f t="shared" si="8"/>
        <v>1750000</v>
      </c>
      <c r="K34" s="1076">
        <f t="shared" si="5"/>
        <v>227499.99999999983</v>
      </c>
      <c r="L34" s="1076">
        <f t="shared" si="9"/>
        <v>350000</v>
      </c>
      <c r="M34" s="1076">
        <f t="shared" si="6"/>
        <v>577499.99999999977</v>
      </c>
      <c r="N34" s="1077">
        <f t="shared" si="7"/>
        <v>1400000</v>
      </c>
    </row>
    <row r="35" spans="1:14" ht="14.25" customHeight="1">
      <c r="I35" s="1075">
        <v>7</v>
      </c>
      <c r="J35" s="1076">
        <f t="shared" si="8"/>
        <v>1400000</v>
      </c>
      <c r="K35" s="1076">
        <f t="shared" si="5"/>
        <v>181999.99999999985</v>
      </c>
      <c r="L35" s="1076">
        <f t="shared" si="9"/>
        <v>350000</v>
      </c>
      <c r="M35" s="1076">
        <f t="shared" si="6"/>
        <v>531999.99999999988</v>
      </c>
      <c r="N35" s="1077">
        <f t="shared" si="7"/>
        <v>1050000</v>
      </c>
    </row>
    <row r="36" spans="1:14" ht="14.25" customHeight="1">
      <c r="I36" s="1075">
        <v>8</v>
      </c>
      <c r="J36" s="1076">
        <f t="shared" si="8"/>
        <v>1050000</v>
      </c>
      <c r="K36" s="1076">
        <f t="shared" si="5"/>
        <v>136499.99999999988</v>
      </c>
      <c r="L36" s="1076">
        <f t="shared" si="9"/>
        <v>350000</v>
      </c>
      <c r="M36" s="1076">
        <f t="shared" si="6"/>
        <v>486499.99999999988</v>
      </c>
      <c r="N36" s="1077">
        <f t="shared" si="7"/>
        <v>700000</v>
      </c>
    </row>
    <row r="37" spans="1:14" ht="14.25" customHeight="1">
      <c r="I37" s="1075">
        <v>9</v>
      </c>
      <c r="J37" s="1076">
        <f t="shared" si="8"/>
        <v>700000</v>
      </c>
      <c r="K37" s="1076">
        <f t="shared" si="5"/>
        <v>90999.999999999927</v>
      </c>
      <c r="L37" s="1076">
        <f t="shared" si="9"/>
        <v>350000</v>
      </c>
      <c r="M37" s="1076">
        <f t="shared" si="6"/>
        <v>440999.99999999994</v>
      </c>
      <c r="N37" s="1077">
        <f t="shared" si="7"/>
        <v>350000</v>
      </c>
    </row>
    <row r="38" spans="1:14" ht="14.25" customHeight="1">
      <c r="I38" s="1075">
        <v>10</v>
      </c>
      <c r="J38" s="1076">
        <f t="shared" si="8"/>
        <v>350000</v>
      </c>
      <c r="K38" s="1076">
        <f t="shared" si="5"/>
        <v>45499.999999999964</v>
      </c>
      <c r="L38" s="1076">
        <f t="shared" si="9"/>
        <v>350000</v>
      </c>
      <c r="M38" s="1076">
        <f t="shared" si="6"/>
        <v>395499.99999999994</v>
      </c>
      <c r="N38" s="1077">
        <f t="shared" si="7"/>
        <v>0</v>
      </c>
    </row>
    <row r="39" spans="1:14" ht="14.25" customHeight="1" thickBot="1">
      <c r="I39" s="1091" t="s">
        <v>621</v>
      </c>
      <c r="J39" s="1082"/>
      <c r="K39" s="1082">
        <f>SUM(K29:K32)</f>
        <v>1546999.9999999988</v>
      </c>
      <c r="L39" s="1082">
        <f>SUM(L29:L32)</f>
        <v>1400000</v>
      </c>
      <c r="M39" s="1082">
        <f>SUM(M29:M32)</f>
        <v>2946999.9999999991</v>
      </c>
      <c r="N39" s="1083"/>
    </row>
    <row r="40" spans="1:14" ht="14.25" customHeight="1" thickBot="1"/>
    <row r="41" spans="1:14" ht="14.25" customHeight="1" thickBot="1">
      <c r="I41" s="1057" t="s">
        <v>36</v>
      </c>
      <c r="J41" s="1058" t="s">
        <v>1012</v>
      </c>
      <c r="K41" s="1058"/>
      <c r="L41" s="1852" t="s">
        <v>607</v>
      </c>
      <c r="M41" s="1853"/>
      <c r="N41" s="1059">
        <v>0.08</v>
      </c>
    </row>
    <row r="42" spans="1:14" ht="14.25" customHeight="1" thickBot="1">
      <c r="I42" s="1058"/>
      <c r="J42" s="1058"/>
      <c r="K42" s="1058"/>
      <c r="L42" s="1850" t="s">
        <v>608</v>
      </c>
      <c r="M42" s="1851"/>
      <c r="N42" s="1062">
        <v>30</v>
      </c>
    </row>
    <row r="43" spans="1:14" ht="14.25" customHeight="1">
      <c r="A43" s="1058"/>
      <c r="B43" s="1092"/>
      <c r="I43" s="1063" t="s">
        <v>609</v>
      </c>
      <c r="J43" s="1064">
        <v>15000</v>
      </c>
      <c r="K43" s="1058"/>
      <c r="L43" s="1850" t="s">
        <v>610</v>
      </c>
      <c r="M43" s="1851"/>
      <c r="N43" s="1062">
        <v>360</v>
      </c>
    </row>
    <row r="44" spans="1:14" ht="14.25" customHeight="1">
      <c r="A44" s="1058"/>
      <c r="B44" s="1058"/>
      <c r="I44" s="1065" t="s">
        <v>102</v>
      </c>
      <c r="J44" s="1066">
        <v>0.1</v>
      </c>
      <c r="K44" s="1058"/>
      <c r="L44" s="1850" t="s">
        <v>612</v>
      </c>
      <c r="M44" s="1851"/>
      <c r="N44" s="1062">
        <v>360</v>
      </c>
    </row>
    <row r="45" spans="1:14" ht="14.25" customHeight="1" thickBot="1">
      <c r="A45" s="1058"/>
      <c r="B45" s="1093"/>
      <c r="I45" s="1067" t="s">
        <v>614</v>
      </c>
      <c r="J45" s="1068">
        <v>3</v>
      </c>
      <c r="K45" s="1058"/>
      <c r="L45" s="1846" t="s">
        <v>616</v>
      </c>
      <c r="M45" s="1847"/>
      <c r="N45" s="1069">
        <f>((1+N41*N42/N44)^(N43/N42))-1</f>
        <v>8.2999506807510004E-2</v>
      </c>
    </row>
    <row r="46" spans="1:14" ht="14.25" customHeight="1" thickBot="1">
      <c r="A46" s="1058"/>
      <c r="B46" s="1058"/>
      <c r="I46" s="1058"/>
      <c r="J46" s="1058"/>
      <c r="K46" s="1058"/>
      <c r="L46" s="1058"/>
      <c r="M46" s="1058"/>
      <c r="N46" s="1058"/>
    </row>
    <row r="47" spans="1:14" ht="14.25" customHeight="1">
      <c r="I47" s="1094" t="s">
        <v>427</v>
      </c>
      <c r="J47" s="1095" t="s">
        <v>428</v>
      </c>
      <c r="K47" s="1095" t="s">
        <v>102</v>
      </c>
      <c r="L47" s="1095" t="s">
        <v>107</v>
      </c>
      <c r="M47" s="1095" t="s">
        <v>109</v>
      </c>
      <c r="N47" s="1096" t="s">
        <v>429</v>
      </c>
    </row>
    <row r="48" spans="1:14" ht="14.25" customHeight="1">
      <c r="I48" s="1097">
        <v>1</v>
      </c>
      <c r="J48" s="1098">
        <f>J43</f>
        <v>15000</v>
      </c>
      <c r="K48" s="1098">
        <f>J48*$J$44</f>
        <v>1500</v>
      </c>
      <c r="L48" s="1098">
        <v>0</v>
      </c>
      <c r="M48" s="1098">
        <v>0</v>
      </c>
      <c r="N48" s="1099">
        <f>J48-L48</f>
        <v>15000</v>
      </c>
    </row>
    <row r="49" spans="9:14" ht="14.25" customHeight="1">
      <c r="I49" s="1097">
        <v>2</v>
      </c>
      <c r="J49" s="1098">
        <f>N48</f>
        <v>15000</v>
      </c>
      <c r="K49" s="1098">
        <f>K48</f>
        <v>1500</v>
      </c>
      <c r="L49" s="1098">
        <f>L48</f>
        <v>0</v>
      </c>
      <c r="M49" s="1098">
        <v>0</v>
      </c>
      <c r="N49" s="1099">
        <f>J49-L49</f>
        <v>15000</v>
      </c>
    </row>
    <row r="50" spans="9:14" ht="14.25" customHeight="1" thickBot="1">
      <c r="I50" s="1100">
        <v>3</v>
      </c>
      <c r="J50" s="1101">
        <f>N49</f>
        <v>15000</v>
      </c>
      <c r="K50" s="1101">
        <f>K49</f>
        <v>1500</v>
      </c>
      <c r="L50" s="1101">
        <f>15000</f>
        <v>15000</v>
      </c>
      <c r="M50" s="1101">
        <v>0</v>
      </c>
      <c r="N50" s="1102">
        <f>J50-L50</f>
        <v>0</v>
      </c>
    </row>
    <row r="51" spans="9:14" ht="14.25" customHeight="1"/>
    <row r="52" spans="9:14" ht="14.25" customHeight="1"/>
    <row r="53" spans="9:14" ht="14.25" customHeight="1"/>
    <row r="54" spans="9:14" ht="14.25" customHeight="1"/>
    <row r="55" spans="9:14" ht="14.25" customHeight="1"/>
    <row r="56" spans="9:14" ht="14.25" customHeight="1"/>
    <row r="57" spans="9:14" ht="14.25" customHeight="1"/>
    <row r="58" spans="9:14" ht="14.25" customHeight="1"/>
    <row r="59" spans="9:14" ht="14.25" customHeight="1"/>
    <row r="60" spans="9:14" ht="14.25" customHeight="1"/>
    <row r="61" spans="9:14" ht="14.25" customHeight="1"/>
    <row r="62" spans="9:14" ht="14.25" customHeight="1"/>
    <row r="63" spans="9:14" ht="14.25" customHeight="1"/>
    <row r="64" spans="9:1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sheetData>
  <mergeCells count="20">
    <mergeCell ref="L45:M45"/>
    <mergeCell ref="L25:M25"/>
    <mergeCell ref="L26:M26"/>
    <mergeCell ref="L41:M41"/>
    <mergeCell ref="L42:M42"/>
    <mergeCell ref="L43:M43"/>
    <mergeCell ref="L44:M44"/>
    <mergeCell ref="R6:T6"/>
    <mergeCell ref="L7:M7"/>
    <mergeCell ref="R7:S7"/>
    <mergeCell ref="L24:M24"/>
    <mergeCell ref="L3:M3"/>
    <mergeCell ref="L4:M4"/>
    <mergeCell ref="L5:M5"/>
    <mergeCell ref="L6:M6"/>
    <mergeCell ref="R8:S8"/>
    <mergeCell ref="R9:S9"/>
    <mergeCell ref="R10:S10"/>
    <mergeCell ref="L22:M22"/>
    <mergeCell ref="L23:M23"/>
  </mergeCells>
  <hyperlinks>
    <hyperlink ref="A26" r:id="rId1" xr:uid="{50C7742E-032F-49A3-96E8-55BC6F81CBE2}"/>
  </hyperlinks>
  <pageMargins left="0.7" right="0.7" top="0.75" bottom="0.75" header="0" footer="0"/>
  <pageSetup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4"/>
  <sheetViews>
    <sheetView workbookViewId="0"/>
  </sheetViews>
  <sheetFormatPr defaultColWidth="14.42578125" defaultRowHeight="15.75" customHeight="1"/>
  <sheetData>
    <row r="1" spans="1:1">
      <c r="A1" s="4" t="s">
        <v>21</v>
      </c>
    </row>
    <row r="2" spans="1:1">
      <c r="A2" s="4" t="s">
        <v>22</v>
      </c>
    </row>
    <row r="3" spans="1:1">
      <c r="A3" s="4" t="s">
        <v>23</v>
      </c>
    </row>
    <row r="4" spans="1:1">
      <c r="A4" s="4" t="s">
        <v>24</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A389B-E6C9-488F-9BF6-DCFF911D52EE}">
  <dimension ref="A2:Y208"/>
  <sheetViews>
    <sheetView topLeftCell="A40" workbookViewId="0">
      <selection activeCell="H55" sqref="H55"/>
    </sheetView>
  </sheetViews>
  <sheetFormatPr defaultRowHeight="12.75"/>
  <cols>
    <col min="1" max="1" width="11.5703125" customWidth="1"/>
    <col min="2" max="2" width="14.5703125" customWidth="1"/>
    <col min="3" max="3" width="35.42578125" bestFit="1" customWidth="1"/>
    <col min="4" max="4" width="37.28515625" bestFit="1" customWidth="1"/>
    <col min="5" max="5" width="19.5703125" customWidth="1"/>
    <col min="6" max="6" width="23.140625" customWidth="1"/>
    <col min="7" max="7" width="39" customWidth="1"/>
    <col min="8" max="8" width="18.5703125" customWidth="1"/>
    <col min="9" max="9" width="20.140625" customWidth="1"/>
    <col min="10" max="10" width="22.42578125" customWidth="1"/>
    <col min="11" max="11" width="17.85546875" customWidth="1"/>
    <col min="12" max="12" width="18.7109375" bestFit="1" customWidth="1"/>
    <col min="13" max="13" width="17.85546875" bestFit="1" customWidth="1"/>
    <col min="14" max="14" width="21" bestFit="1" customWidth="1"/>
    <col min="15" max="15" width="16.7109375" customWidth="1"/>
    <col min="16" max="16" width="35.42578125" bestFit="1" customWidth="1"/>
    <col min="17" max="17" width="16" bestFit="1" customWidth="1"/>
    <col min="18" max="18" width="12.28515625" bestFit="1" customWidth="1"/>
    <col min="19" max="19" width="6.7109375" bestFit="1" customWidth="1"/>
    <col min="20" max="24" width="16" bestFit="1" customWidth="1"/>
    <col min="25" max="25" width="10.5703125" bestFit="1" customWidth="1"/>
  </cols>
  <sheetData>
    <row r="2" spans="1:15">
      <c r="A2" s="1744"/>
      <c r="B2" s="1745"/>
      <c r="M2" s="366"/>
      <c r="N2" s="364"/>
    </row>
    <row r="3" spans="1:15">
      <c r="A3" s="1745"/>
      <c r="B3" s="1745"/>
    </row>
    <row r="4" spans="1:15">
      <c r="A4" s="1745"/>
      <c r="B4" s="1745"/>
    </row>
    <row r="5" spans="1:15">
      <c r="A5" s="1745"/>
      <c r="B5" s="1745"/>
    </row>
    <row r="6" spans="1:15">
      <c r="A6" s="1745"/>
      <c r="B6" s="1745"/>
    </row>
    <row r="7" spans="1:15">
      <c r="A7" s="1745"/>
      <c r="B7" s="1745"/>
    </row>
    <row r="8" spans="1:15">
      <c r="A8" s="1745"/>
      <c r="B8" s="1745"/>
    </row>
    <row r="9" spans="1:15">
      <c r="A9" s="1745"/>
      <c r="B9" s="1745"/>
    </row>
    <row r="10" spans="1:15">
      <c r="A10" s="1745"/>
      <c r="B10" s="1745"/>
      <c r="J10" s="351" t="s">
        <v>1199</v>
      </c>
    </row>
    <row r="11" spans="1:15">
      <c r="A11" s="1745"/>
      <c r="B11" s="1745"/>
    </row>
    <row r="12" spans="1:15">
      <c r="A12" s="1745"/>
      <c r="B12" s="1745"/>
    </row>
    <row r="13" spans="1:15">
      <c r="M13" s="596"/>
      <c r="N13" s="597" t="s">
        <v>506</v>
      </c>
      <c r="O13" s="351"/>
    </row>
    <row r="14" spans="1:15">
      <c r="M14" s="596"/>
      <c r="N14" s="597" t="s">
        <v>507</v>
      </c>
      <c r="O14" s="351"/>
    </row>
    <row r="15" spans="1:15">
      <c r="M15" s="596"/>
      <c r="N15" s="597" t="s">
        <v>764</v>
      </c>
      <c r="O15" s="351"/>
    </row>
    <row r="16" spans="1:15">
      <c r="M16" s="598"/>
      <c r="N16" s="597" t="s">
        <v>765</v>
      </c>
    </row>
    <row r="20" spans="13:20">
      <c r="M20" s="351"/>
    </row>
    <row r="21" spans="13:20">
      <c r="N21" s="351"/>
      <c r="O21" s="351"/>
      <c r="P21" s="351"/>
      <c r="R21" s="351"/>
    </row>
    <row r="22" spans="13:20">
      <c r="M22" s="351"/>
      <c r="O22" s="351"/>
      <c r="P22" s="208"/>
      <c r="R22" s="705"/>
    </row>
    <row r="23" spans="13:20">
      <c r="M23" s="351"/>
      <c r="O23" s="351"/>
      <c r="P23" s="208"/>
    </row>
    <row r="24" spans="13:20">
      <c r="M24" s="351"/>
      <c r="N24" s="351"/>
      <c r="O24" s="351"/>
      <c r="P24" s="208"/>
    </row>
    <row r="25" spans="13:20">
      <c r="M25" s="351"/>
      <c r="N25" s="351"/>
      <c r="O25" s="351"/>
      <c r="P25" s="208"/>
    </row>
    <row r="26" spans="13:20">
      <c r="M26" s="351"/>
      <c r="P26" s="208"/>
    </row>
    <row r="27" spans="13:20">
      <c r="M27" s="351"/>
      <c r="P27" s="208"/>
    </row>
    <row r="28" spans="13:20">
      <c r="M28" s="351"/>
    </row>
    <row r="30" spans="13:20">
      <c r="M30" s="1755"/>
      <c r="N30" s="1714"/>
      <c r="Q30" s="351"/>
      <c r="S30" s="351"/>
    </row>
    <row r="31" spans="13:20">
      <c r="M31" s="700"/>
      <c r="N31" s="700"/>
      <c r="Q31" s="351"/>
    </row>
    <row r="32" spans="13:20">
      <c r="M32" s="702"/>
      <c r="N32" s="702"/>
      <c r="Q32" s="351"/>
      <c r="R32" s="695"/>
      <c r="S32" s="706"/>
      <c r="T32" s="351"/>
    </row>
    <row r="34" spans="3:21">
      <c r="M34" s="351"/>
    </row>
    <row r="35" spans="3:21">
      <c r="O35" s="1755"/>
      <c r="P35" s="1714"/>
      <c r="Q35" s="1714"/>
      <c r="R35" s="1714"/>
      <c r="S35" s="1714"/>
    </row>
    <row r="36" spans="3:21">
      <c r="O36" s="700"/>
      <c r="P36" s="700"/>
      <c r="Q36" s="700"/>
      <c r="R36" s="700"/>
      <c r="S36" s="700"/>
    </row>
    <row r="37" spans="3:21">
      <c r="C37" s="351"/>
      <c r="O37" s="702"/>
      <c r="P37" s="702"/>
      <c r="Q37" s="702"/>
      <c r="R37" s="702"/>
      <c r="S37" s="702"/>
    </row>
    <row r="38" spans="3:21">
      <c r="C38" s="351"/>
    </row>
    <row r="39" spans="3:21">
      <c r="C39" s="351"/>
    </row>
    <row r="40" spans="3:21">
      <c r="C40" s="208"/>
    </row>
    <row r="41" spans="3:21">
      <c r="C41" s="208"/>
      <c r="M41" s="1755"/>
      <c r="N41" s="1755"/>
      <c r="O41" s="1755"/>
      <c r="P41" s="701"/>
      <c r="Q41" s="701"/>
      <c r="R41" s="701"/>
      <c r="S41" s="701"/>
      <c r="T41" s="300"/>
      <c r="U41" s="301"/>
    </row>
    <row r="42" spans="3:21">
      <c r="M42" s="1755"/>
      <c r="N42" s="1714"/>
      <c r="O42" s="1714"/>
    </row>
    <row r="43" spans="3:21">
      <c r="M43" s="700"/>
      <c r="N43" s="700"/>
      <c r="O43" s="700"/>
    </row>
    <row r="44" spans="3:21">
      <c r="M44" s="703"/>
      <c r="N44" s="702"/>
      <c r="O44" s="702"/>
    </row>
    <row r="45" spans="3:21">
      <c r="M45" s="1755"/>
      <c r="N45" s="1714"/>
      <c r="O45" s="1714"/>
    </row>
    <row r="46" spans="3:21">
      <c r="M46" s="700"/>
      <c r="N46" s="701"/>
      <c r="O46" s="701"/>
    </row>
    <row r="47" spans="3:21">
      <c r="M47" s="700"/>
      <c r="N47" s="701"/>
      <c r="O47" s="701"/>
    </row>
    <row r="48" spans="3:21">
      <c r="M48" s="700"/>
      <c r="N48" s="701"/>
      <c r="O48" s="701"/>
    </row>
    <row r="49" spans="4:23">
      <c r="M49" s="700"/>
      <c r="N49" s="701"/>
      <c r="O49" s="701"/>
    </row>
    <row r="50" spans="4:23">
      <c r="M50" s="700"/>
      <c r="N50" s="701"/>
      <c r="O50" s="701"/>
    </row>
    <row r="51" spans="4:23">
      <c r="M51" s="700"/>
      <c r="N51" s="701"/>
      <c r="O51" s="701"/>
    </row>
    <row r="52" spans="4:23">
      <c r="M52" s="700"/>
      <c r="N52" s="701"/>
      <c r="O52" s="701"/>
    </row>
    <row r="53" spans="4:23">
      <c r="M53" s="700"/>
      <c r="N53" s="701"/>
      <c r="O53" s="701"/>
    </row>
    <row r="54" spans="4:23">
      <c r="M54" s="700"/>
      <c r="N54" s="701"/>
      <c r="O54" s="701"/>
    </row>
    <row r="55" spans="4:23">
      <c r="M55" s="700"/>
      <c r="N55" s="701"/>
      <c r="O55" s="701"/>
    </row>
    <row r="56" spans="4:23" ht="14.25">
      <c r="I56" s="595"/>
      <c r="M56" s="697" t="s">
        <v>831</v>
      </c>
      <c r="N56" s="261"/>
    </row>
    <row r="57" spans="4:23" ht="15.75">
      <c r="I57" s="1308" t="s">
        <v>1283</v>
      </c>
      <c r="J57" s="595"/>
      <c r="M57" s="731" t="s">
        <v>832</v>
      </c>
      <c r="N57" s="583"/>
      <c r="U57" s="4"/>
      <c r="V57" s="547"/>
      <c r="W57" s="548"/>
    </row>
    <row r="58" spans="4:23" ht="15.75">
      <c r="I58" s="1309">
        <f>3737021*0.28</f>
        <v>1046365.8800000001</v>
      </c>
      <c r="J58" s="595"/>
      <c r="M58" s="732" t="s">
        <v>833</v>
      </c>
      <c r="N58" s="733"/>
      <c r="U58" s="4"/>
      <c r="V58" s="4"/>
    </row>
    <row r="59" spans="4:23" ht="14.25">
      <c r="I59" s="1310">
        <f>I58*0.3</f>
        <v>313909.76400000002</v>
      </c>
      <c r="M59" s="734" t="s">
        <v>834</v>
      </c>
      <c r="N59" s="259"/>
      <c r="O59" s="259"/>
      <c r="U59" s="4"/>
      <c r="V59" s="3"/>
    </row>
    <row r="60" spans="4:23">
      <c r="M60" s="700"/>
      <c r="N60" s="700"/>
      <c r="O60" s="700"/>
      <c r="U60" s="4"/>
      <c r="V60" s="4"/>
    </row>
    <row r="61" spans="4:23" ht="14.25" customHeight="1">
      <c r="D61" s="1787" t="s">
        <v>823</v>
      </c>
      <c r="E61" s="677" t="s">
        <v>824</v>
      </c>
      <c r="F61" s="730">
        <v>3500000</v>
      </c>
      <c r="G61" s="408" t="s">
        <v>825</v>
      </c>
      <c r="I61" s="548"/>
      <c r="J61" s="678"/>
      <c r="K61" s="548"/>
      <c r="L61" s="679"/>
      <c r="M61" s="704"/>
      <c r="N61" s="548"/>
      <c r="O61" s="702"/>
      <c r="U61" s="4"/>
      <c r="V61" s="4"/>
    </row>
    <row r="62" spans="4:23" ht="15" thickBot="1">
      <c r="D62" s="1788"/>
      <c r="E62" s="680" t="s">
        <v>826</v>
      </c>
      <c r="F62" s="681">
        <v>0.2</v>
      </c>
      <c r="G62" s="708">
        <f>F62*F61</f>
        <v>700000</v>
      </c>
      <c r="I62" s="408"/>
      <c r="J62" s="408">
        <v>1</v>
      </c>
      <c r="K62" s="408">
        <v>2</v>
      </c>
      <c r="L62" s="408">
        <v>3</v>
      </c>
      <c r="M62" s="699">
        <v>4</v>
      </c>
      <c r="N62" s="699">
        <v>5</v>
      </c>
      <c r="U62" s="4"/>
      <c r="V62" s="4"/>
    </row>
    <row r="63" spans="4:23" ht="14.25">
      <c r="D63" s="1789"/>
      <c r="E63" s="682" t="s">
        <v>451</v>
      </c>
      <c r="F63" s="683">
        <v>0.2</v>
      </c>
      <c r="G63" s="684">
        <f>F63*G62</f>
        <v>140000</v>
      </c>
      <c r="H63" s="768"/>
      <c r="I63" s="408" t="s">
        <v>827</v>
      </c>
      <c r="J63" s="408"/>
      <c r="K63" s="685">
        <v>-0.9</v>
      </c>
      <c r="L63" s="685">
        <v>-0.9</v>
      </c>
      <c r="M63" s="685">
        <v>-0.9</v>
      </c>
      <c r="N63" s="685">
        <v>-0.9</v>
      </c>
      <c r="O63" s="736" t="s">
        <v>835</v>
      </c>
      <c r="P63" s="585"/>
      <c r="Q63" s="585"/>
      <c r="R63" s="585"/>
      <c r="S63" s="585"/>
      <c r="T63" s="585"/>
      <c r="U63" s="4"/>
      <c r="V63" s="549"/>
    </row>
    <row r="64" spans="4:23" ht="14.25">
      <c r="D64" s="1789"/>
      <c r="E64" s="686" t="s">
        <v>632</v>
      </c>
      <c r="F64" s="687">
        <v>0.3</v>
      </c>
      <c r="G64" s="688">
        <f>G62*0.8*F64</f>
        <v>168000</v>
      </c>
      <c r="H64" s="768"/>
      <c r="I64" s="408" t="s">
        <v>177</v>
      </c>
      <c r="J64" s="735">
        <f>G63</f>
        <v>140000</v>
      </c>
      <c r="K64" s="735">
        <f>G64</f>
        <v>168000</v>
      </c>
      <c r="L64" s="735">
        <f>G65</f>
        <v>117600</v>
      </c>
      <c r="M64" s="735">
        <f>G66</f>
        <v>82320</v>
      </c>
      <c r="N64" s="735">
        <f>G67</f>
        <v>57624</v>
      </c>
      <c r="O64" s="351"/>
    </row>
    <row r="65" spans="1:25" ht="14.25">
      <c r="D65" s="1789"/>
      <c r="E65" s="686" t="s">
        <v>793</v>
      </c>
      <c r="F65" s="687">
        <v>0.3</v>
      </c>
      <c r="G65" s="688">
        <f>(G62-G63-G64)*F65</f>
        <v>117600</v>
      </c>
      <c r="H65" s="768"/>
      <c r="I65" s="689" t="s">
        <v>828</v>
      </c>
      <c r="J65" s="408"/>
      <c r="K65" s="408">
        <f>(K64-J64)/J64</f>
        <v>0.2</v>
      </c>
      <c r="L65" s="408">
        <f>(L64-K64)/K64</f>
        <v>-0.3</v>
      </c>
      <c r="M65" s="408">
        <f>(M64-L64)/L64</f>
        <v>-0.3</v>
      </c>
      <c r="N65" s="408">
        <f>(N64-M64)/M64</f>
        <v>-0.3</v>
      </c>
    </row>
    <row r="66" spans="1:25" ht="15">
      <c r="D66" s="1789"/>
      <c r="E66" s="686" t="s">
        <v>794</v>
      </c>
      <c r="F66" s="687">
        <v>0.3</v>
      </c>
      <c r="G66" s="688">
        <f>(G62-G63-G64-G65)*F66</f>
        <v>82320</v>
      </c>
      <c r="H66" s="768"/>
      <c r="I66" s="689" t="s">
        <v>829</v>
      </c>
      <c r="J66" s="408"/>
      <c r="K66" s="408">
        <f>K65/K63</f>
        <v>-0.22222222222222224</v>
      </c>
      <c r="L66" s="408">
        <f>L65/L63</f>
        <v>0.33333333333333331</v>
      </c>
      <c r="M66" s="408">
        <f>M65/M63</f>
        <v>0.33333333333333331</v>
      </c>
      <c r="N66" s="408">
        <f>N65/N63</f>
        <v>0.33333333333333331</v>
      </c>
      <c r="U66" s="550"/>
      <c r="V66" s="1748"/>
      <c r="W66" s="1749"/>
      <c r="X66" s="1749"/>
      <c r="Y66" s="1750"/>
    </row>
    <row r="67" spans="1:25" ht="15.75" thickBot="1">
      <c r="D67" s="1790"/>
      <c r="E67" s="690" t="s">
        <v>795</v>
      </c>
      <c r="F67" s="691">
        <v>0.3</v>
      </c>
      <c r="G67" s="688">
        <f>(G62-G63-G64-G65-G66)*F67</f>
        <v>57624</v>
      </c>
      <c r="H67" s="768"/>
      <c r="I67" s="680" t="s">
        <v>220</v>
      </c>
      <c r="J67" s="693">
        <f>H69</f>
        <v>2000</v>
      </c>
      <c r="K67" s="693">
        <f>J67*(1+K66)</f>
        <v>1555.5555555555557</v>
      </c>
      <c r="L67" s="692">
        <f>K67*(1+L66)</f>
        <v>2074.0740740740739</v>
      </c>
      <c r="M67" s="692">
        <f>L67*(1+M66)</f>
        <v>2765.4320987654319</v>
      </c>
      <c r="N67" s="692">
        <f>M67*(1+N66)</f>
        <v>3687.2427983539092</v>
      </c>
      <c r="U67" s="551"/>
      <c r="V67" s="552"/>
      <c r="W67" s="552"/>
      <c r="X67" s="552"/>
      <c r="Y67" s="553"/>
    </row>
    <row r="68" spans="1:25" ht="15">
      <c r="U68" s="554"/>
      <c r="V68" s="555"/>
      <c r="W68" s="556"/>
      <c r="X68" s="555"/>
      <c r="Y68" s="557"/>
    </row>
    <row r="69" spans="1:25" ht="15">
      <c r="G69" s="697" t="s">
        <v>830</v>
      </c>
      <c r="H69" s="698">
        <f>2420/1.21</f>
        <v>2000</v>
      </c>
      <c r="I69" s="695"/>
      <c r="J69" s="694"/>
      <c r="K69" s="695"/>
      <c r="M69" s="259" t="s">
        <v>0</v>
      </c>
      <c r="N69" s="260">
        <v>0.12</v>
      </c>
      <c r="O69" s="261" t="s">
        <v>3</v>
      </c>
      <c r="P69" s="261" t="s">
        <v>3</v>
      </c>
      <c r="U69" s="554"/>
      <c r="V69" s="558"/>
      <c r="W69" s="556"/>
      <c r="X69" s="555"/>
      <c r="Y69" s="557"/>
    </row>
    <row r="70" spans="1:25" ht="15">
      <c r="G70" s="548"/>
      <c r="H70" s="694"/>
      <c r="I70" s="695"/>
      <c r="J70" s="694"/>
      <c r="K70" s="695"/>
      <c r="M70" s="21"/>
      <c r="N70" s="23" t="s">
        <v>3</v>
      </c>
      <c r="O70" s="261">
        <f>(1+N69/6)^6</f>
        <v>1.1261624192640001</v>
      </c>
      <c r="P70" s="266">
        <f>O70-1</f>
        <v>0.12616241926400007</v>
      </c>
      <c r="U70" s="559"/>
      <c r="V70" s="560"/>
      <c r="W70" s="556"/>
      <c r="X70" s="561"/>
      <c r="Y70" s="557"/>
    </row>
    <row r="71" spans="1:25" ht="14.25">
      <c r="A71" s="767" t="s">
        <v>865</v>
      </c>
      <c r="B71" s="767"/>
      <c r="C71" s="767"/>
      <c r="D71" s="257"/>
      <c r="G71" s="548"/>
      <c r="H71" s="694"/>
      <c r="I71" s="695"/>
      <c r="J71" s="694"/>
      <c r="K71" s="695"/>
      <c r="M71" s="21"/>
      <c r="N71" s="23"/>
    </row>
    <row r="72" spans="1:25">
      <c r="A72" s="257"/>
      <c r="B72" s="767"/>
      <c r="C72" s="257"/>
      <c r="D72" s="257"/>
      <c r="M72" s="21"/>
      <c r="N72" s="39"/>
    </row>
    <row r="73" spans="1:25" ht="14.25">
      <c r="A73" s="257"/>
      <c r="B73" s="767"/>
      <c r="C73" s="257"/>
      <c r="D73" s="257"/>
      <c r="G73" s="798"/>
      <c r="H73" s="799"/>
      <c r="I73" s="799"/>
      <c r="J73" s="800"/>
      <c r="K73" s="800"/>
      <c r="M73" s="21"/>
      <c r="N73" s="23"/>
    </row>
    <row r="74" spans="1:25" ht="14.25">
      <c r="A74" s="257"/>
      <c r="B74" s="767"/>
      <c r="C74" s="257"/>
      <c r="D74" s="257"/>
      <c r="G74" s="799"/>
      <c r="H74" s="799"/>
      <c r="I74" s="799"/>
      <c r="J74" s="798"/>
      <c r="K74" s="799"/>
    </row>
    <row r="75" spans="1:25" ht="14.25">
      <c r="A75" s="257"/>
      <c r="B75" s="767"/>
      <c r="C75" s="257"/>
      <c r="D75" s="257"/>
      <c r="G75" s="801"/>
      <c r="H75" s="799"/>
      <c r="I75" s="799"/>
      <c r="J75" s="798"/>
      <c r="K75" s="799"/>
      <c r="M75" s="1615" t="s">
        <v>103</v>
      </c>
      <c r="N75" s="1613"/>
      <c r="O75" s="1613"/>
      <c r="P75" s="1613"/>
      <c r="Q75" s="1614"/>
      <c r="S75" s="769"/>
      <c r="T75" s="254"/>
      <c r="U75" s="254"/>
      <c r="V75" s="254"/>
      <c r="W75" s="254"/>
      <c r="X75" s="254"/>
    </row>
    <row r="76" spans="1:25" ht="14.25">
      <c r="E76" s="351"/>
      <c r="G76" s="799"/>
      <c r="H76" s="802"/>
      <c r="I76" s="799"/>
      <c r="J76" s="798"/>
      <c r="K76" s="799"/>
      <c r="M76" s="24" t="s">
        <v>105</v>
      </c>
      <c r="N76" s="24" t="s">
        <v>106</v>
      </c>
      <c r="O76" s="24" t="s">
        <v>102</v>
      </c>
      <c r="P76" s="24" t="s">
        <v>134</v>
      </c>
      <c r="Q76" s="24" t="s">
        <v>107</v>
      </c>
      <c r="S76" s="254"/>
      <c r="T76" s="254"/>
      <c r="U76" s="254"/>
      <c r="V76" s="254"/>
      <c r="W76" s="254"/>
      <c r="X76" s="254"/>
    </row>
    <row r="77" spans="1:25" ht="14.25">
      <c r="E77" s="254"/>
      <c r="G77" s="802"/>
      <c r="H77" s="802"/>
      <c r="I77" s="799"/>
      <c r="J77" s="799"/>
      <c r="K77" s="799"/>
      <c r="M77" s="25"/>
      <c r="N77" s="26"/>
      <c r="O77" s="26"/>
      <c r="P77" s="26"/>
      <c r="Q77" s="26">
        <f>D148</f>
        <v>0</v>
      </c>
      <c r="S77" s="254"/>
      <c r="T77" s="254"/>
      <c r="U77" s="254"/>
      <c r="V77" s="254"/>
      <c r="W77" s="254"/>
      <c r="X77" s="254"/>
    </row>
    <row r="78" spans="1:25" ht="14.25">
      <c r="D78" s="351"/>
      <c r="E78" s="254"/>
      <c r="G78" s="802"/>
      <c r="H78" s="802"/>
      <c r="I78" s="799"/>
      <c r="J78" s="799"/>
      <c r="K78" s="799"/>
      <c r="M78" s="25">
        <v>1</v>
      </c>
      <c r="N78" s="26">
        <f>P70*Q77/(1-(1+P70)^-5)</f>
        <v>0</v>
      </c>
      <c r="O78" s="26">
        <f>Q77*$P$70</f>
        <v>0</v>
      </c>
      <c r="P78" s="26">
        <f>N78-O78</f>
        <v>0</v>
      </c>
      <c r="Q78" s="26">
        <f>Q77-P78</f>
        <v>0</v>
      </c>
      <c r="S78" s="254"/>
      <c r="T78" s="254"/>
      <c r="U78" s="254"/>
      <c r="V78" s="254"/>
      <c r="W78" s="254"/>
      <c r="X78" s="254"/>
    </row>
    <row r="79" spans="1:25" ht="14.25">
      <c r="D79" s="351"/>
      <c r="E79" s="254"/>
      <c r="G79" s="802"/>
      <c r="H79" s="799"/>
      <c r="I79" s="799"/>
      <c r="J79" s="799"/>
      <c r="K79" s="799"/>
      <c r="M79" s="25">
        <v>2</v>
      </c>
      <c r="N79" s="26">
        <f>P70*Q77/(1-(1+P70)^-5)</f>
        <v>0</v>
      </c>
      <c r="O79" s="26">
        <f>Q78*$P$70</f>
        <v>0</v>
      </c>
      <c r="P79" s="26">
        <f>N79-O79</f>
        <v>0</v>
      </c>
      <c r="Q79" s="26">
        <f>Q78-P79</f>
        <v>0</v>
      </c>
      <c r="S79" s="254"/>
      <c r="T79" s="254"/>
      <c r="U79" s="254"/>
      <c r="V79" s="254"/>
      <c r="W79" s="254"/>
      <c r="X79" s="254"/>
    </row>
    <row r="80" spans="1:25">
      <c r="G80" s="803"/>
      <c r="H80" s="799"/>
      <c r="I80" s="799"/>
      <c r="J80" s="799"/>
      <c r="K80" s="799"/>
      <c r="M80" s="25">
        <v>3</v>
      </c>
      <c r="N80" s="26">
        <f>P70*Q77/(1-(1+P70)^-5)</f>
        <v>0</v>
      </c>
      <c r="O80" s="26">
        <f>Q79*$P$70</f>
        <v>0</v>
      </c>
      <c r="P80" s="26">
        <f>N80-O80</f>
        <v>0</v>
      </c>
      <c r="Q80" s="26">
        <f>Q79-P80</f>
        <v>0</v>
      </c>
    </row>
    <row r="81" spans="2:17">
      <c r="G81" s="804"/>
      <c r="H81" s="799"/>
      <c r="I81" s="799"/>
      <c r="J81" s="799"/>
      <c r="K81" s="799"/>
      <c r="M81" s="25">
        <v>4</v>
      </c>
      <c r="N81" s="26">
        <f>P70*Q77/(1-(1+P70)^-5)</f>
        <v>0</v>
      </c>
      <c r="O81" s="26">
        <f>Q80*$P$70</f>
        <v>0</v>
      </c>
      <c r="P81" s="26">
        <f>N81-O81</f>
        <v>0</v>
      </c>
      <c r="Q81" s="26">
        <f>Q80-P81</f>
        <v>0</v>
      </c>
    </row>
    <row r="82" spans="2:17">
      <c r="M82" s="766">
        <v>5</v>
      </c>
      <c r="N82" s="26">
        <f>P70*Q77/(1-(1+P70)^-5)</f>
        <v>0</v>
      </c>
      <c r="O82" s="26">
        <f>Q81*$P$70</f>
        <v>0</v>
      </c>
      <c r="P82" s="26">
        <f>N82-O82</f>
        <v>0</v>
      </c>
      <c r="Q82" s="26">
        <f>Q81-P82</f>
        <v>0</v>
      </c>
    </row>
    <row r="83" spans="2:17" ht="13.5" thickBot="1">
      <c r="M83" s="1785"/>
      <c r="N83" s="1714"/>
      <c r="O83" s="1714"/>
      <c r="P83" s="1714"/>
      <c r="Q83" s="1714"/>
    </row>
    <row r="84" spans="2:17" ht="15" thickBot="1">
      <c r="B84" s="1756" t="s">
        <v>1131</v>
      </c>
      <c r="C84" s="1757"/>
      <c r="D84" s="1757"/>
      <c r="E84" s="1757"/>
      <c r="F84" s="1757"/>
      <c r="G84" s="1757"/>
      <c r="H84" s="1757"/>
      <c r="I84" s="1757"/>
      <c r="J84" s="1757"/>
      <c r="K84" s="1758"/>
      <c r="L84" s="1056"/>
      <c r="M84" s="1056"/>
      <c r="N84" s="2"/>
      <c r="O84" s="2"/>
      <c r="P84" s="2"/>
      <c r="Q84" s="2"/>
    </row>
    <row r="85" spans="2:17" ht="30.75" thickBot="1">
      <c r="B85" s="1116" t="s">
        <v>577</v>
      </c>
      <c r="C85" s="402" t="s">
        <v>578</v>
      </c>
      <c r="D85" s="403" t="s">
        <v>579</v>
      </c>
      <c r="E85" s="403" t="s">
        <v>102</v>
      </c>
      <c r="F85" s="403" t="s">
        <v>580</v>
      </c>
      <c r="G85" s="403" t="s">
        <v>1128</v>
      </c>
      <c r="H85" s="403" t="s">
        <v>582</v>
      </c>
      <c r="I85" s="404" t="s">
        <v>583</v>
      </c>
      <c r="J85" s="405" t="s">
        <v>584</v>
      </c>
      <c r="K85" s="401" t="s">
        <v>585</v>
      </c>
      <c r="L85" s="1056"/>
      <c r="M85" s="401" t="s">
        <v>586</v>
      </c>
      <c r="N85" s="1759" t="s">
        <v>881</v>
      </c>
      <c r="O85" s="1759"/>
      <c r="P85" s="2"/>
      <c r="Q85" s="2"/>
    </row>
    <row r="86" spans="2:17" ht="14.25">
      <c r="B86" s="1115" t="s">
        <v>1287</v>
      </c>
      <c r="C86" s="1105">
        <v>70</v>
      </c>
      <c r="D86" s="1106" t="s">
        <v>1290</v>
      </c>
      <c r="E86" s="1107">
        <v>0.15</v>
      </c>
      <c r="F86" s="1107">
        <v>0</v>
      </c>
      <c r="G86" s="1108">
        <f>1+F86</f>
        <v>1</v>
      </c>
      <c r="H86" s="1109">
        <f>C86/G86</f>
        <v>70</v>
      </c>
      <c r="I86" s="1106">
        <v>1</v>
      </c>
      <c r="J86" s="1110">
        <f>I86*H86*(1+E86)</f>
        <v>80.5</v>
      </c>
      <c r="K86" s="1836">
        <f>SUM(J86:J90)</f>
        <v>326.3</v>
      </c>
      <c r="L86" s="1717" t="s">
        <v>588</v>
      </c>
      <c r="M86" s="1718">
        <f>SUM(K86,L90)</f>
        <v>441.3</v>
      </c>
      <c r="N86" s="1759"/>
      <c r="O86" s="1759"/>
      <c r="P86" s="2"/>
      <c r="Q86" s="2"/>
    </row>
    <row r="87" spans="2:17" ht="14.25">
      <c r="B87" s="1104" t="s">
        <v>1288</v>
      </c>
      <c r="C87" s="1105">
        <v>200</v>
      </c>
      <c r="D87" s="1106" t="s">
        <v>1290</v>
      </c>
      <c r="E87" s="1107">
        <v>0</v>
      </c>
      <c r="F87" s="1107"/>
      <c r="G87" s="1108">
        <f>1+F87</f>
        <v>1</v>
      </c>
      <c r="H87" s="1109">
        <f>C87/G87</f>
        <v>200</v>
      </c>
      <c r="I87" s="1108">
        <v>1</v>
      </c>
      <c r="J87" s="1110">
        <f>I87*H87*(1+E87)</f>
        <v>200</v>
      </c>
      <c r="K87" s="1837"/>
      <c r="L87" s="1717"/>
      <c r="M87" s="1718"/>
      <c r="N87" s="1759"/>
      <c r="O87" s="1759"/>
      <c r="P87" s="2"/>
      <c r="Q87" s="2"/>
    </row>
    <row r="88" spans="2:17" ht="14.25">
      <c r="B88" s="1104" t="s">
        <v>1289</v>
      </c>
      <c r="C88" s="1105">
        <v>40</v>
      </c>
      <c r="D88" s="1106" t="s">
        <v>1290</v>
      </c>
      <c r="E88" s="1107"/>
      <c r="F88" s="1107">
        <v>0</v>
      </c>
      <c r="G88" s="1108">
        <f>1+F88</f>
        <v>1</v>
      </c>
      <c r="H88" s="1109">
        <f>C88*G88</f>
        <v>40</v>
      </c>
      <c r="I88" s="1106">
        <v>1</v>
      </c>
      <c r="J88" s="1110">
        <f>I88*H88*(1+E88)</f>
        <v>40</v>
      </c>
      <c r="K88" s="1837"/>
      <c r="L88" s="1717"/>
      <c r="M88" s="1718"/>
      <c r="N88" s="1759"/>
      <c r="O88" s="1759"/>
      <c r="P88" s="2"/>
      <c r="Q88" s="2"/>
    </row>
    <row r="89" spans="2:17" ht="14.25">
      <c r="B89" s="1104" t="s">
        <v>1291</v>
      </c>
      <c r="C89" s="1105">
        <v>500</v>
      </c>
      <c r="D89" s="1106" t="s">
        <v>591</v>
      </c>
      <c r="E89" s="1107"/>
      <c r="F89" s="1107"/>
      <c r="G89" s="1108">
        <f>1+F89</f>
        <v>1</v>
      </c>
      <c r="H89" s="1109">
        <f>C89/G89</f>
        <v>500</v>
      </c>
      <c r="I89" s="1106">
        <f>1/100</f>
        <v>0.01</v>
      </c>
      <c r="J89" s="1110">
        <f>I89*H89*(1+E89)</f>
        <v>5</v>
      </c>
      <c r="K89" s="1837"/>
      <c r="L89" s="1717"/>
      <c r="M89" s="1718"/>
      <c r="N89" s="1759"/>
      <c r="O89" s="1759"/>
      <c r="P89" s="2"/>
      <c r="Q89" s="2"/>
    </row>
    <row r="90" spans="2:17" ht="15.75" thickBot="1">
      <c r="B90" s="1111" t="s">
        <v>390</v>
      </c>
      <c r="C90" s="1112">
        <v>20</v>
      </c>
      <c r="D90" s="1113" t="s">
        <v>591</v>
      </c>
      <c r="E90" s="1114"/>
      <c r="F90" s="1114"/>
      <c r="G90" s="1108">
        <f>1+F90</f>
        <v>1</v>
      </c>
      <c r="H90" s="1109">
        <f>C90/G90</f>
        <v>20</v>
      </c>
      <c r="I90" s="1106">
        <f>4/100</f>
        <v>0.04</v>
      </c>
      <c r="J90" s="1110">
        <f>I90*H90*(1+E90)</f>
        <v>0.8</v>
      </c>
      <c r="K90" s="1838"/>
      <c r="L90" s="418">
        <v>115</v>
      </c>
      <c r="M90" s="1718"/>
      <c r="N90" s="1759"/>
      <c r="O90" s="1759"/>
      <c r="P90" s="2"/>
      <c r="Q90" s="2"/>
    </row>
    <row r="91" spans="2:17" ht="14.25">
      <c r="B91" s="1056"/>
      <c r="C91" s="419" t="s">
        <v>595</v>
      </c>
      <c r="D91" s="1056"/>
      <c r="E91" s="1719" t="s">
        <v>596</v>
      </c>
      <c r="F91" s="1720"/>
      <c r="I91" s="419" t="s">
        <v>595</v>
      </c>
      <c r="J91" s="1056"/>
      <c r="K91" s="1056"/>
      <c r="L91" s="419" t="s">
        <v>597</v>
      </c>
      <c r="M91" s="1056"/>
      <c r="N91" s="1759"/>
      <c r="O91" s="1759"/>
      <c r="P91" s="2"/>
      <c r="Q91" s="2"/>
    </row>
    <row r="92" spans="2:17" ht="14.25">
      <c r="G92" s="1117"/>
      <c r="H92" s="1118"/>
      <c r="M92" s="2"/>
      <c r="N92" s="2"/>
      <c r="O92" s="2"/>
      <c r="P92" s="2"/>
      <c r="Q92" s="2"/>
    </row>
    <row r="93" spans="2:17">
      <c r="H93" s="255"/>
      <c r="M93" s="2"/>
      <c r="N93" s="2"/>
      <c r="O93" s="2"/>
      <c r="P93" s="2"/>
      <c r="Q93" s="2"/>
    </row>
    <row r="94" spans="2:17" ht="13.5" thickBot="1">
      <c r="M94" s="2"/>
      <c r="N94" s="2"/>
      <c r="O94" s="2"/>
      <c r="P94" s="2"/>
      <c r="Q94" s="2"/>
    </row>
    <row r="95" spans="2:17" ht="34.5" customHeight="1">
      <c r="D95" s="1205" t="s">
        <v>1157</v>
      </c>
      <c r="E95" s="1206"/>
      <c r="F95" s="1207" t="s">
        <v>1154</v>
      </c>
      <c r="G95" s="1208">
        <f>(0.3*(100000))/((1+0.1144)^2)</f>
        <v>24156.780209116547</v>
      </c>
      <c r="I95" s="1842" t="s">
        <v>1160</v>
      </c>
      <c r="J95" s="1842"/>
      <c r="K95" s="1842"/>
      <c r="L95" s="1842"/>
      <c r="M95" s="2"/>
      <c r="N95" s="2"/>
      <c r="O95" s="2"/>
      <c r="P95" s="2"/>
      <c r="Q95" s="2"/>
    </row>
    <row r="96" spans="2:17" ht="13.5" customHeight="1">
      <c r="D96" s="1209"/>
      <c r="E96" s="257"/>
      <c r="F96" s="257"/>
      <c r="G96" s="1210" t="s">
        <v>1155</v>
      </c>
      <c r="M96" s="4"/>
      <c r="N96" s="5"/>
      <c r="O96" s="5"/>
      <c r="P96" s="5"/>
      <c r="Q96" s="5"/>
    </row>
    <row r="97" spans="3:22" ht="13.5" thickBot="1">
      <c r="D97" s="1211"/>
      <c r="E97" s="1212"/>
      <c r="F97" s="1212"/>
      <c r="G97" s="1213" t="s">
        <v>1156</v>
      </c>
      <c r="M97" s="4"/>
      <c r="N97" s="5"/>
      <c r="O97" s="5"/>
      <c r="P97" s="5"/>
      <c r="Q97" s="5"/>
    </row>
    <row r="98" spans="3:22" ht="13.5" thickBot="1">
      <c r="D98" s="1839" t="s">
        <v>1159</v>
      </c>
      <c r="E98" s="1840"/>
      <c r="F98" s="1840"/>
      <c r="G98" s="1841"/>
      <c r="M98" s="4"/>
      <c r="N98" s="5"/>
      <c r="O98" s="5"/>
      <c r="P98" s="5"/>
      <c r="Q98" s="5"/>
    </row>
    <row r="99" spans="3:22">
      <c r="H99" s="254"/>
      <c r="M99" s="4"/>
      <c r="N99" s="5"/>
      <c r="O99" s="5"/>
      <c r="P99" s="5"/>
      <c r="Q99" s="5"/>
    </row>
    <row r="101" spans="3:22">
      <c r="C101" s="272" t="s">
        <v>1284</v>
      </c>
      <c r="D101" s="25"/>
      <c r="E101" s="595">
        <v>313909.76400000002</v>
      </c>
      <c r="F101" s="595">
        <f>E101*1.05</f>
        <v>329605.25220000005</v>
      </c>
      <c r="G101" s="595">
        <f>F101*1.05</f>
        <v>346085.51481000008</v>
      </c>
      <c r="H101" s="595">
        <f>G101*1.07</f>
        <v>370311.5008467001</v>
      </c>
      <c r="I101" s="595">
        <f>H101*1.07</f>
        <v>396233.30590596911</v>
      </c>
      <c r="P101" s="272"/>
      <c r="Q101" s="25"/>
      <c r="R101" s="25"/>
      <c r="S101" s="25"/>
      <c r="T101" s="25"/>
      <c r="U101" s="25"/>
      <c r="V101" s="25"/>
    </row>
    <row r="102" spans="3:22">
      <c r="C102" s="27" t="s">
        <v>361</v>
      </c>
      <c r="D102" s="27" t="s">
        <v>112</v>
      </c>
      <c r="E102" s="27" t="s">
        <v>113</v>
      </c>
      <c r="F102" s="27" t="s">
        <v>114</v>
      </c>
      <c r="G102" s="27" t="s">
        <v>115</v>
      </c>
      <c r="H102" s="27" t="s">
        <v>116</v>
      </c>
      <c r="I102" s="27" t="s">
        <v>117</v>
      </c>
      <c r="P102" s="27"/>
      <c r="Q102" s="27"/>
      <c r="R102" s="27"/>
      <c r="S102" s="27"/>
      <c r="T102" s="27"/>
      <c r="U102" s="27"/>
      <c r="V102" s="27"/>
    </row>
    <row r="103" spans="3:22">
      <c r="C103" s="269" t="s">
        <v>118</v>
      </c>
      <c r="D103" s="270"/>
      <c r="E103" s="270"/>
      <c r="F103" s="270"/>
      <c r="G103" s="270"/>
      <c r="H103" s="270"/>
      <c r="I103" s="270"/>
      <c r="P103" s="269"/>
      <c r="Q103" s="270"/>
      <c r="R103" s="270"/>
      <c r="S103" s="270"/>
      <c r="T103" s="270"/>
      <c r="U103" s="270"/>
      <c r="V103" s="270"/>
    </row>
    <row r="104" spans="3:22">
      <c r="C104" s="25" t="s">
        <v>1143</v>
      </c>
      <c r="D104" s="752"/>
      <c r="E104" s="752"/>
      <c r="F104" s="752"/>
      <c r="G104" s="752"/>
      <c r="H104" s="752"/>
      <c r="I104" s="752"/>
      <c r="P104" s="25"/>
      <c r="Q104" s="26"/>
      <c r="R104" s="26"/>
      <c r="S104" s="26"/>
      <c r="T104" s="26"/>
      <c r="U104" s="26"/>
      <c r="V104" s="26"/>
    </row>
    <row r="105" spans="3:22">
      <c r="C105" s="25" t="s">
        <v>1144</v>
      </c>
      <c r="D105" s="752"/>
      <c r="E105" s="752"/>
      <c r="F105" s="752"/>
      <c r="G105" s="752"/>
      <c r="H105" s="752"/>
      <c r="I105" s="752"/>
      <c r="P105" s="25"/>
      <c r="Q105" s="26"/>
      <c r="R105" s="26"/>
      <c r="S105" s="26"/>
      <c r="T105" s="26"/>
      <c r="U105" s="26"/>
      <c r="V105" s="26"/>
    </row>
    <row r="106" spans="3:22">
      <c r="C106" s="25" t="s">
        <v>867</v>
      </c>
      <c r="D106" s="752"/>
      <c r="E106" s="752"/>
      <c r="F106" s="752"/>
      <c r="G106" s="752"/>
      <c r="H106" s="752"/>
      <c r="I106" s="752"/>
      <c r="P106" s="25"/>
      <c r="Q106" s="26"/>
      <c r="R106" s="26"/>
      <c r="S106" s="26"/>
      <c r="T106" s="26"/>
      <c r="U106" s="26"/>
      <c r="V106" s="26"/>
    </row>
    <row r="107" spans="3:22">
      <c r="C107" s="25"/>
      <c r="D107" s="752"/>
      <c r="E107" s="752"/>
      <c r="F107" s="752"/>
      <c r="G107" s="752"/>
      <c r="H107" s="752"/>
      <c r="I107" s="752"/>
      <c r="P107" s="25"/>
      <c r="Q107" s="26"/>
      <c r="R107" s="26"/>
      <c r="S107" s="26"/>
      <c r="T107" s="26"/>
      <c r="U107" s="26"/>
      <c r="V107" s="26"/>
    </row>
    <row r="108" spans="3:22">
      <c r="C108" s="25" t="s">
        <v>874</v>
      </c>
      <c r="D108" s="752"/>
      <c r="E108" s="752"/>
      <c r="F108" s="752"/>
      <c r="G108" s="752"/>
      <c r="H108" s="752"/>
      <c r="I108" s="753"/>
      <c r="P108" s="25"/>
      <c r="Q108" s="26"/>
      <c r="R108" s="26"/>
      <c r="S108" s="26"/>
      <c r="T108" s="26"/>
      <c r="U108" s="26"/>
      <c r="V108" s="280"/>
    </row>
    <row r="109" spans="3:22">
      <c r="C109" s="25"/>
      <c r="D109" s="752"/>
      <c r="E109" s="752"/>
      <c r="F109" s="752"/>
      <c r="G109" s="752"/>
      <c r="H109" s="752"/>
      <c r="I109" s="753"/>
      <c r="P109" s="25"/>
      <c r="Q109" s="26"/>
      <c r="R109" s="26"/>
      <c r="S109" s="26"/>
      <c r="T109" s="26"/>
      <c r="U109" s="26"/>
      <c r="V109" s="280"/>
    </row>
    <row r="110" spans="3:22">
      <c r="C110" s="25" t="s">
        <v>1123</v>
      </c>
      <c r="D110" s="752"/>
      <c r="E110" s="752"/>
      <c r="F110" s="752"/>
      <c r="G110" s="752"/>
      <c r="H110" s="752"/>
      <c r="I110" s="753">
        <f>D150*0.3*-1*0.9</f>
        <v>0</v>
      </c>
      <c r="J110" s="351" t="s">
        <v>1148</v>
      </c>
      <c r="P110" s="25"/>
      <c r="Q110" s="26"/>
      <c r="R110" s="26"/>
      <c r="S110" s="26"/>
      <c r="T110" s="26"/>
      <c r="U110" s="26"/>
      <c r="V110" s="280"/>
    </row>
    <row r="111" spans="3:22">
      <c r="C111" s="25" t="s">
        <v>1158</v>
      </c>
      <c r="D111" s="752"/>
      <c r="E111" s="752"/>
      <c r="F111" s="752"/>
      <c r="G111" s="752"/>
      <c r="H111" s="752"/>
      <c r="I111" s="753"/>
      <c r="J111" s="351"/>
      <c r="P111" s="25"/>
      <c r="Q111" s="26"/>
      <c r="R111" s="26"/>
      <c r="S111" s="26"/>
      <c r="T111" s="26"/>
      <c r="U111" s="26"/>
      <c r="V111" s="280"/>
    </row>
    <row r="112" spans="3:22">
      <c r="C112" s="269" t="s">
        <v>121</v>
      </c>
      <c r="D112" s="754"/>
      <c r="E112" s="754"/>
      <c r="F112" s="754"/>
      <c r="G112" s="754"/>
      <c r="H112" s="754"/>
      <c r="I112" s="754"/>
      <c r="P112" s="269"/>
      <c r="Q112" s="270"/>
      <c r="R112" s="270"/>
      <c r="S112" s="270"/>
      <c r="T112" s="270"/>
      <c r="U112" s="270"/>
      <c r="V112" s="270"/>
    </row>
    <row r="113" spans="2:22">
      <c r="C113" s="25" t="s">
        <v>122</v>
      </c>
      <c r="D113" s="752"/>
      <c r="E113" s="254"/>
      <c r="F113" s="254"/>
      <c r="G113" s="254"/>
      <c r="H113" s="752"/>
      <c r="I113" s="752"/>
      <c r="P113" s="25"/>
      <c r="Q113" s="26"/>
      <c r="R113" s="26"/>
      <c r="S113" s="26"/>
      <c r="T113" s="26"/>
      <c r="U113" s="26"/>
      <c r="V113" s="26"/>
    </row>
    <row r="114" spans="2:22">
      <c r="C114" s="47" t="s">
        <v>1132</v>
      </c>
      <c r="D114" s="752"/>
      <c r="E114" s="752"/>
      <c r="F114" s="752"/>
      <c r="G114" s="752"/>
      <c r="H114" s="752"/>
      <c r="I114" s="752"/>
      <c r="J114" s="351"/>
      <c r="P114" s="47"/>
      <c r="Q114" s="26"/>
      <c r="R114" s="26"/>
      <c r="S114" s="26"/>
      <c r="T114" s="26"/>
      <c r="U114" s="26"/>
      <c r="V114" s="26"/>
    </row>
    <row r="115" spans="2:22">
      <c r="C115" s="631" t="s">
        <v>809</v>
      </c>
      <c r="D115" s="752"/>
      <c r="E115" s="752"/>
      <c r="F115" s="752"/>
      <c r="G115" s="752"/>
      <c r="H115" s="752"/>
      <c r="I115" s="752"/>
      <c r="P115" s="47"/>
      <c r="Q115" s="26"/>
      <c r="R115" s="26"/>
      <c r="S115" s="26"/>
      <c r="T115" s="26"/>
      <c r="U115" s="26"/>
      <c r="V115" s="26"/>
    </row>
    <row r="116" spans="2:22">
      <c r="C116" s="1119" t="s">
        <v>1133</v>
      </c>
      <c r="D116" s="752"/>
      <c r="E116" s="752"/>
      <c r="F116" s="752"/>
      <c r="G116" s="752"/>
      <c r="H116" s="752"/>
      <c r="I116" s="752"/>
      <c r="P116" s="47"/>
      <c r="Q116" s="26"/>
      <c r="R116" s="26"/>
      <c r="S116" s="26"/>
      <c r="T116" s="26"/>
      <c r="U116" s="26"/>
      <c r="V116" s="26"/>
    </row>
    <row r="117" spans="2:22">
      <c r="C117" s="342" t="s">
        <v>1140</v>
      </c>
      <c r="D117" s="765"/>
      <c r="E117" s="752"/>
      <c r="F117" s="752"/>
      <c r="G117" s="752"/>
      <c r="H117" s="752"/>
      <c r="I117" s="752"/>
      <c r="P117" s="47"/>
      <c r="Q117" s="26"/>
      <c r="R117" s="26"/>
      <c r="S117" s="26"/>
      <c r="T117" s="26"/>
      <c r="U117" s="26"/>
      <c r="V117" s="26"/>
    </row>
    <row r="118" spans="2:22">
      <c r="C118" s="1120" t="s">
        <v>1141</v>
      </c>
      <c r="D118" s="765"/>
      <c r="E118" s="752"/>
      <c r="F118" s="752"/>
      <c r="G118" s="752"/>
      <c r="H118" s="752"/>
      <c r="I118" s="752"/>
      <c r="P118" s="47"/>
      <c r="Q118" s="26"/>
      <c r="R118" s="26"/>
      <c r="S118" s="26"/>
      <c r="T118" s="26"/>
      <c r="U118" s="26"/>
      <c r="V118" s="26"/>
    </row>
    <row r="119" spans="2:22">
      <c r="C119" s="102" t="s">
        <v>802</v>
      </c>
      <c r="D119" s="752"/>
      <c r="E119" s="752"/>
      <c r="F119" s="752"/>
      <c r="G119" s="752"/>
      <c r="H119" s="752"/>
      <c r="I119" s="752"/>
      <c r="P119" s="47"/>
      <c r="Q119" s="26"/>
      <c r="R119" s="26"/>
      <c r="S119" s="26"/>
      <c r="T119" s="26"/>
      <c r="U119" s="26"/>
      <c r="V119" s="26"/>
    </row>
    <row r="120" spans="2:22" ht="15.75" customHeight="1">
      <c r="C120" s="287" t="s">
        <v>1282</v>
      </c>
      <c r="D120" s="752"/>
      <c r="E120" s="752">
        <f>-50000*137</f>
        <v>-6850000</v>
      </c>
      <c r="F120" s="752">
        <f>-50000*137</f>
        <v>-6850000</v>
      </c>
      <c r="G120" s="752">
        <f>-50000*137</f>
        <v>-6850000</v>
      </c>
      <c r="H120" s="752">
        <f>-50000*137</f>
        <v>-6850000</v>
      </c>
      <c r="I120" s="752">
        <f>-50000*137</f>
        <v>-6850000</v>
      </c>
      <c r="P120" s="287"/>
      <c r="Q120" s="26"/>
      <c r="R120" s="26"/>
      <c r="S120" s="26"/>
      <c r="T120" s="26"/>
      <c r="U120" s="26"/>
      <c r="V120" s="26"/>
    </row>
    <row r="121" spans="2:22" s="259" customFormat="1" ht="15.75" customHeight="1">
      <c r="B121" s="1222"/>
      <c r="C121" s="1053" t="s">
        <v>1285</v>
      </c>
      <c r="D121" s="1054"/>
      <c r="E121" s="1054"/>
      <c r="F121" s="1054"/>
      <c r="G121" s="1054"/>
      <c r="H121" s="1054"/>
      <c r="I121" s="1054"/>
      <c r="J121" s="1222"/>
      <c r="P121" s="1053"/>
      <c r="Q121" s="1236"/>
      <c r="R121" s="1236"/>
      <c r="S121" s="1236"/>
      <c r="T121" s="1236"/>
      <c r="U121" s="1236"/>
      <c r="V121" s="1236"/>
    </row>
    <row r="122" spans="2:22" s="259" customFormat="1" ht="15.75" customHeight="1">
      <c r="B122" s="1222"/>
      <c r="C122" s="1053" t="s">
        <v>1286</v>
      </c>
      <c r="D122" s="1054"/>
      <c r="E122" s="1054"/>
      <c r="F122" s="1054"/>
      <c r="G122" s="1054"/>
      <c r="H122" s="1054"/>
      <c r="I122" s="1054"/>
      <c r="J122" s="1222"/>
      <c r="P122" s="1053"/>
      <c r="Q122" s="1236"/>
      <c r="R122" s="1236"/>
      <c r="S122" s="1236"/>
      <c r="T122" s="1236"/>
      <c r="U122" s="1236"/>
      <c r="V122" s="1236"/>
    </row>
    <row r="123" spans="2:22" s="259" customFormat="1" ht="15.75" customHeight="1">
      <c r="B123" s="1222"/>
      <c r="C123" s="1053" t="s">
        <v>1293</v>
      </c>
      <c r="D123" s="1054"/>
      <c r="E123" s="1054"/>
      <c r="F123" s="1054"/>
      <c r="G123" s="1054"/>
      <c r="H123" s="1054"/>
      <c r="I123" s="1054"/>
      <c r="J123" s="1222"/>
      <c r="P123" s="1053"/>
      <c r="Q123" s="1236"/>
      <c r="R123" s="1236"/>
      <c r="S123" s="1236"/>
      <c r="T123" s="1236"/>
      <c r="U123" s="1236"/>
      <c r="V123" s="1236"/>
    </row>
    <row r="124" spans="2:22" ht="15.75" customHeight="1">
      <c r="B124" s="351"/>
      <c r="C124" s="199" t="s">
        <v>1292</v>
      </c>
      <c r="D124" s="752"/>
      <c r="E124" s="752">
        <f>10000*137*-1</f>
        <v>-1370000</v>
      </c>
      <c r="F124" s="752">
        <f>10000*137*-1</f>
        <v>-1370000</v>
      </c>
      <c r="G124" s="752">
        <f>10000*137*-1</f>
        <v>-1370000</v>
      </c>
      <c r="H124" s="752">
        <f>10000*137*-1</f>
        <v>-1370000</v>
      </c>
      <c r="I124" s="752">
        <f>10000*137*-1</f>
        <v>-1370000</v>
      </c>
      <c r="J124" s="351"/>
      <c r="P124" s="199"/>
      <c r="Q124" s="26"/>
      <c r="R124" s="26"/>
      <c r="S124" s="26"/>
      <c r="T124" s="26"/>
      <c r="U124" s="26"/>
      <c r="V124" s="26"/>
    </row>
    <row r="125" spans="2:22" ht="15.75" customHeight="1">
      <c r="B125" s="351"/>
      <c r="C125" s="199" t="s">
        <v>1138</v>
      </c>
      <c r="D125" s="752"/>
      <c r="E125" s="752"/>
      <c r="F125" s="752"/>
      <c r="G125" s="752"/>
      <c r="H125" s="752"/>
      <c r="I125" s="752"/>
      <c r="J125" s="351"/>
      <c r="P125" s="199"/>
      <c r="Q125" s="26"/>
      <c r="R125" s="26"/>
      <c r="S125" s="26"/>
      <c r="T125" s="26"/>
      <c r="U125" s="26"/>
      <c r="V125" s="26"/>
    </row>
    <row r="126" spans="2:22" ht="15.75" customHeight="1">
      <c r="B126" s="351"/>
      <c r="C126" s="199" t="s">
        <v>1134</v>
      </c>
      <c r="D126" s="752"/>
      <c r="E126" s="752"/>
      <c r="F126" s="752"/>
      <c r="G126" s="752"/>
      <c r="H126" s="752"/>
      <c r="I126" s="752"/>
      <c r="J126" s="351"/>
      <c r="P126" s="199"/>
      <c r="Q126" s="26"/>
      <c r="R126" s="26"/>
      <c r="S126" s="26"/>
      <c r="T126" s="26"/>
      <c r="U126" s="26"/>
      <c r="V126" s="26"/>
    </row>
    <row r="127" spans="2:22" ht="15.75" customHeight="1">
      <c r="B127" s="351"/>
      <c r="C127" s="199" t="s">
        <v>868</v>
      </c>
      <c r="D127" s="752"/>
      <c r="E127" s="752"/>
      <c r="F127" s="752"/>
      <c r="G127" s="752"/>
      <c r="H127" s="752"/>
      <c r="I127" s="752"/>
      <c r="P127" s="199"/>
      <c r="Q127" s="26"/>
      <c r="R127" s="26"/>
      <c r="S127" s="26"/>
      <c r="T127" s="26"/>
      <c r="U127" s="26"/>
      <c r="V127" s="26"/>
    </row>
    <row r="128" spans="2:22" ht="15.75" customHeight="1">
      <c r="B128" s="351"/>
      <c r="C128" s="199" t="s">
        <v>478</v>
      </c>
      <c r="D128" s="752"/>
      <c r="E128" s="752"/>
      <c r="F128" s="752"/>
      <c r="G128" s="752"/>
      <c r="H128" s="752"/>
      <c r="I128" s="752"/>
      <c r="P128" s="199"/>
      <c r="Q128" s="26"/>
      <c r="R128" s="26"/>
      <c r="S128" s="26"/>
      <c r="T128" s="26"/>
      <c r="U128" s="26"/>
      <c r="V128" s="26"/>
    </row>
    <row r="129" spans="3:22" ht="15.75" customHeight="1">
      <c r="C129" s="199" t="s">
        <v>543</v>
      </c>
      <c r="D129" s="752"/>
      <c r="E129" s="752"/>
      <c r="F129" s="752"/>
      <c r="G129" s="752"/>
      <c r="H129" s="752"/>
      <c r="I129" s="752"/>
      <c r="P129" s="199"/>
      <c r="Q129" s="26"/>
      <c r="R129" s="26"/>
      <c r="S129" s="26"/>
      <c r="T129" s="26"/>
      <c r="U129" s="26"/>
      <c r="V129" s="26"/>
    </row>
    <row r="130" spans="3:22" ht="15.75" customHeight="1">
      <c r="C130" s="199" t="s">
        <v>766</v>
      </c>
      <c r="D130" s="752"/>
      <c r="E130" s="752"/>
      <c r="F130" s="752"/>
      <c r="G130" s="752"/>
      <c r="H130" s="752"/>
      <c r="I130" s="752"/>
      <c r="J130" s="351"/>
      <c r="P130" s="199"/>
      <c r="Q130" s="26"/>
      <c r="R130" s="26"/>
      <c r="S130" s="26"/>
      <c r="T130" s="26"/>
      <c r="U130" s="26"/>
      <c r="V130" s="26"/>
    </row>
    <row r="131" spans="3:22">
      <c r="C131" s="267" t="s">
        <v>125</v>
      </c>
      <c r="D131" s="755"/>
      <c r="E131" s="755"/>
      <c r="F131" s="755"/>
      <c r="G131" s="755"/>
      <c r="H131" s="755"/>
      <c r="I131" s="755"/>
      <c r="P131" s="267"/>
      <c r="Q131" s="268"/>
      <c r="R131" s="268"/>
      <c r="S131" s="268"/>
      <c r="T131" s="268"/>
      <c r="U131" s="268"/>
      <c r="V131" s="268"/>
    </row>
    <row r="132" spans="3:22">
      <c r="C132" s="25" t="s">
        <v>761</v>
      </c>
      <c r="D132" s="752"/>
      <c r="E132" s="752"/>
      <c r="F132" s="752"/>
      <c r="G132" s="752"/>
      <c r="H132" s="752"/>
      <c r="I132" s="752"/>
      <c r="J132" s="1746"/>
      <c r="K132" s="1747"/>
      <c r="L132" s="1747"/>
      <c r="M132" s="1747"/>
      <c r="P132" s="25"/>
      <c r="Q132" s="26"/>
      <c r="R132" s="26"/>
      <c r="S132" s="26"/>
      <c r="T132" s="26"/>
      <c r="U132" s="26"/>
      <c r="V132" s="26"/>
    </row>
    <row r="133" spans="3:22">
      <c r="C133" s="25" t="s">
        <v>1149</v>
      </c>
      <c r="D133" s="752"/>
      <c r="E133" s="752"/>
      <c r="F133" s="752"/>
      <c r="G133" s="752"/>
      <c r="H133" s="752"/>
      <c r="I133" s="752"/>
      <c r="P133" s="25"/>
      <c r="Q133" s="26"/>
      <c r="R133" s="26"/>
      <c r="S133" s="26"/>
      <c r="T133" s="26"/>
      <c r="U133" s="26"/>
      <c r="V133" s="26"/>
    </row>
    <row r="134" spans="3:22">
      <c r="C134" s="25" t="s">
        <v>1150</v>
      </c>
      <c r="D134" s="752"/>
      <c r="E134" s="752"/>
      <c r="F134" s="752"/>
      <c r="G134" s="752"/>
      <c r="H134" s="752"/>
      <c r="I134" s="752"/>
      <c r="P134" s="25"/>
      <c r="Q134" s="26"/>
      <c r="R134" s="26"/>
      <c r="S134" s="26"/>
      <c r="T134" s="26"/>
      <c r="U134" s="26"/>
      <c r="V134" s="26"/>
    </row>
    <row r="135" spans="3:22">
      <c r="C135" s="25" t="s">
        <v>1151</v>
      </c>
      <c r="D135" s="752"/>
      <c r="E135" s="752"/>
      <c r="F135" s="752"/>
      <c r="G135" s="752"/>
      <c r="H135" s="752"/>
      <c r="I135" s="752"/>
      <c r="P135" s="25"/>
      <c r="Q135" s="26"/>
      <c r="R135" s="26"/>
      <c r="S135" s="26"/>
      <c r="T135" s="26"/>
      <c r="U135" s="26"/>
      <c r="V135" s="26"/>
    </row>
    <row r="136" spans="3:22">
      <c r="C136" s="25" t="s">
        <v>787</v>
      </c>
      <c r="D136" s="752"/>
      <c r="E136" s="752"/>
      <c r="F136" s="752"/>
      <c r="G136" s="752"/>
      <c r="H136" s="752"/>
      <c r="I136" s="756"/>
      <c r="P136" s="25"/>
      <c r="Q136" s="26"/>
      <c r="R136" s="26"/>
      <c r="S136" s="26"/>
      <c r="T136" s="26"/>
      <c r="U136" s="26"/>
      <c r="V136" s="26"/>
    </row>
    <row r="137" spans="3:22">
      <c r="C137" s="25" t="s">
        <v>1153</v>
      </c>
      <c r="D137" s="752"/>
      <c r="E137" s="752"/>
      <c r="F137" s="752"/>
      <c r="G137" s="752"/>
      <c r="H137" s="752"/>
      <c r="I137" s="756"/>
      <c r="P137" s="25"/>
      <c r="Q137" s="26"/>
      <c r="R137" s="26"/>
      <c r="S137" s="26"/>
      <c r="T137" s="26"/>
      <c r="U137" s="26"/>
      <c r="V137" s="26"/>
    </row>
    <row r="138" spans="3:22">
      <c r="C138" s="25" t="s">
        <v>872</v>
      </c>
      <c r="D138" s="752"/>
      <c r="E138" s="752"/>
      <c r="F138" s="752"/>
      <c r="G138" s="752"/>
      <c r="H138" s="757"/>
      <c r="I138" s="758"/>
      <c r="P138" s="25"/>
      <c r="Q138" s="26"/>
      <c r="R138" s="26"/>
      <c r="S138" s="26"/>
      <c r="T138" s="26"/>
      <c r="U138" s="26"/>
      <c r="V138" s="26"/>
    </row>
    <row r="139" spans="3:22">
      <c r="C139" s="25" t="s">
        <v>873</v>
      </c>
      <c r="D139" s="752"/>
      <c r="E139" s="752"/>
      <c r="F139" s="752"/>
      <c r="G139" s="752"/>
      <c r="H139" s="752"/>
      <c r="I139" s="759"/>
      <c r="P139" s="25"/>
      <c r="Q139" s="26"/>
      <c r="R139" s="26"/>
      <c r="S139" s="26"/>
      <c r="T139" s="26"/>
      <c r="U139" s="26"/>
      <c r="V139" s="26"/>
    </row>
    <row r="140" spans="3:22">
      <c r="C140" s="25" t="s">
        <v>1152</v>
      </c>
      <c r="D140" s="752"/>
      <c r="E140" s="752"/>
      <c r="F140" s="752"/>
      <c r="G140" s="752"/>
      <c r="H140" s="752"/>
      <c r="I140" s="759"/>
      <c r="P140" s="25"/>
      <c r="Q140" s="26"/>
      <c r="R140" s="26"/>
      <c r="S140" s="26"/>
      <c r="T140" s="26"/>
      <c r="U140" s="26"/>
      <c r="V140" s="26"/>
    </row>
    <row r="141" spans="3:22">
      <c r="C141" s="25" t="s">
        <v>786</v>
      </c>
      <c r="D141" s="752"/>
      <c r="E141" s="752"/>
      <c r="F141" s="752"/>
      <c r="G141" s="752"/>
      <c r="H141" s="752"/>
      <c r="I141" s="759"/>
      <c r="P141" s="25"/>
      <c r="Q141" s="26"/>
      <c r="R141" s="26"/>
      <c r="S141" s="26"/>
      <c r="T141" s="26"/>
      <c r="U141" s="26"/>
      <c r="V141" s="26"/>
    </row>
    <row r="142" spans="3:22" ht="14.25">
      <c r="C142" s="31" t="s">
        <v>130</v>
      </c>
      <c r="D142" s="760"/>
      <c r="E142" s="760">
        <f>SUM(E104:E141)</f>
        <v>-8220000</v>
      </c>
      <c r="F142" s="760">
        <f>SUM(F104:F141)</f>
        <v>-8220000</v>
      </c>
      <c r="G142" s="760">
        <f>SUM(G104:G141)</f>
        <v>-8220000</v>
      </c>
      <c r="H142" s="760">
        <f>SUM(H104:H141)</f>
        <v>-8220000</v>
      </c>
      <c r="I142" s="760">
        <f>SUM(I104:I141)</f>
        <v>-8220000</v>
      </c>
      <c r="K142" s="259"/>
      <c r="L142" s="259"/>
      <c r="M142" s="259"/>
      <c r="P142" s="31"/>
      <c r="Q142" s="32"/>
      <c r="R142" s="32"/>
      <c r="S142" s="32"/>
      <c r="T142" s="32"/>
      <c r="U142" s="32"/>
      <c r="V142" s="32"/>
    </row>
    <row r="143" spans="3:22">
      <c r="C143" s="33" t="s">
        <v>349</v>
      </c>
      <c r="D143" s="752"/>
      <c r="E143" s="752">
        <f>E142*0.35</f>
        <v>-2877000</v>
      </c>
      <c r="F143" s="752">
        <f>F142*0.35</f>
        <v>-2877000</v>
      </c>
      <c r="G143" s="752">
        <f>G142*0.35</f>
        <v>-2877000</v>
      </c>
      <c r="H143" s="752">
        <f>H142*0.35</f>
        <v>-2877000</v>
      </c>
      <c r="I143" s="752">
        <f>I142*0.35</f>
        <v>-2877000</v>
      </c>
      <c r="K143" s="276"/>
      <c r="L143" s="259"/>
      <c r="M143" s="259"/>
      <c r="P143" s="33"/>
      <c r="Q143" s="26"/>
      <c r="R143" s="26"/>
      <c r="S143" s="26"/>
      <c r="T143" s="26"/>
      <c r="U143" s="26"/>
      <c r="V143" s="26"/>
    </row>
    <row r="144" spans="3:22" ht="28.5">
      <c r="C144" s="34" t="s">
        <v>132</v>
      </c>
      <c r="D144" s="761"/>
      <c r="E144" s="761">
        <f>E142-E143</f>
        <v>-5343000</v>
      </c>
      <c r="F144" s="761">
        <f>F142-F143</f>
        <v>-5343000</v>
      </c>
      <c r="G144" s="761">
        <f>G142-G143</f>
        <v>-5343000</v>
      </c>
      <c r="H144" s="761">
        <f>H142-H143</f>
        <v>-5343000</v>
      </c>
      <c r="I144" s="761">
        <f>I142-I143</f>
        <v>-5343000</v>
      </c>
      <c r="P144" s="34"/>
      <c r="Q144" s="35"/>
      <c r="R144" s="35"/>
      <c r="S144" s="35"/>
      <c r="T144" s="35"/>
      <c r="U144" s="35"/>
      <c r="V144" s="35"/>
    </row>
    <row r="145" spans="3:23">
      <c r="C145" s="33" t="s">
        <v>133</v>
      </c>
      <c r="D145" s="756"/>
      <c r="E145" s="756">
        <f>SUM(E132:E141)*-1</f>
        <v>0</v>
      </c>
      <c r="F145" s="756">
        <f>SUM(F132:F141)*-1</f>
        <v>0</v>
      </c>
      <c r="G145" s="756">
        <f>SUM(G132:G141)*-1</f>
        <v>0</v>
      </c>
      <c r="H145" s="756">
        <f>SUM(H132:H141)*-1</f>
        <v>0</v>
      </c>
      <c r="I145" s="756">
        <f>SUM(I132:I141)*-1</f>
        <v>0</v>
      </c>
      <c r="P145" s="33"/>
      <c r="Q145" s="26"/>
      <c r="R145" s="26"/>
      <c r="S145" s="26"/>
      <c r="T145" s="26"/>
      <c r="U145" s="26"/>
      <c r="V145" s="26"/>
    </row>
    <row r="146" spans="3:23" ht="25.5">
      <c r="C146" s="751" t="s">
        <v>712</v>
      </c>
      <c r="D146" s="254"/>
      <c r="E146" s="816"/>
      <c r="F146" s="816"/>
      <c r="G146" s="816"/>
      <c r="H146" s="816"/>
      <c r="I146" s="764"/>
      <c r="P146" s="284"/>
      <c r="Q146" s="26"/>
      <c r="R146" s="26"/>
      <c r="S146" s="26"/>
      <c r="T146" s="26"/>
      <c r="U146" s="26"/>
    </row>
    <row r="147" spans="3:23">
      <c r="C147" s="25" t="s">
        <v>134</v>
      </c>
      <c r="D147" s="759"/>
      <c r="E147" s="254"/>
      <c r="F147" s="254"/>
      <c r="G147" s="254"/>
      <c r="H147" s="759"/>
      <c r="I147" s="759"/>
      <c r="P147" s="25"/>
      <c r="R147" s="26"/>
      <c r="S147" s="26"/>
      <c r="T147" s="26"/>
      <c r="U147" s="26"/>
      <c r="V147" s="26"/>
    </row>
    <row r="148" spans="3:23">
      <c r="C148" s="25" t="s">
        <v>135</v>
      </c>
      <c r="D148" s="752"/>
      <c r="F148" s="752"/>
      <c r="G148" s="752"/>
      <c r="H148" s="752"/>
      <c r="I148" s="752"/>
      <c r="P148" s="286"/>
      <c r="R148" s="26"/>
      <c r="S148" s="26"/>
      <c r="T148" s="26"/>
      <c r="U148" s="26"/>
      <c r="V148" s="26"/>
    </row>
    <row r="149" spans="3:23">
      <c r="C149" s="25"/>
      <c r="D149" s="752"/>
      <c r="F149" s="752"/>
      <c r="G149" s="752"/>
      <c r="H149" s="756"/>
      <c r="I149" s="752"/>
      <c r="P149" s="286"/>
      <c r="Q149" s="26"/>
      <c r="V149" s="26"/>
    </row>
    <row r="150" spans="3:23">
      <c r="C150" s="25" t="s">
        <v>1122</v>
      </c>
      <c r="D150" s="752"/>
      <c r="E150" s="752"/>
      <c r="F150" s="752"/>
      <c r="G150" s="757"/>
      <c r="H150" s="758"/>
      <c r="I150" s="765"/>
      <c r="P150" s="286"/>
      <c r="Q150" s="26"/>
      <c r="R150" s="26"/>
      <c r="S150" s="26"/>
      <c r="T150" s="26"/>
      <c r="U150" s="26"/>
      <c r="V150" s="26"/>
    </row>
    <row r="151" spans="3:23">
      <c r="C151" s="25" t="s">
        <v>863</v>
      </c>
      <c r="D151" s="752"/>
      <c r="E151" s="752"/>
      <c r="F151" s="752"/>
      <c r="G151" s="757"/>
      <c r="H151" s="758"/>
      <c r="I151" s="765"/>
      <c r="P151" s="286"/>
      <c r="Q151" s="26"/>
      <c r="R151" s="26"/>
      <c r="S151" s="26"/>
      <c r="T151" s="26"/>
      <c r="U151" s="26"/>
      <c r="V151" s="26"/>
    </row>
    <row r="152" spans="3:23">
      <c r="C152" s="25" t="s">
        <v>785</v>
      </c>
      <c r="D152" s="752"/>
      <c r="E152" s="752"/>
      <c r="F152" s="752"/>
      <c r="G152" s="757"/>
      <c r="H152" s="758"/>
      <c r="I152" s="765"/>
      <c r="J152" s="663" t="s">
        <v>1186</v>
      </c>
      <c r="P152" s="286"/>
      <c r="Q152" s="26"/>
      <c r="R152" s="26"/>
      <c r="S152" s="26"/>
      <c r="T152" s="26"/>
      <c r="U152" s="26"/>
      <c r="V152" s="26"/>
    </row>
    <row r="153" spans="3:23">
      <c r="C153" s="286" t="s">
        <v>412</v>
      </c>
      <c r="D153" s="752"/>
      <c r="E153" s="752"/>
      <c r="F153" s="752"/>
      <c r="G153" s="752"/>
      <c r="H153" s="759"/>
      <c r="I153" s="752"/>
      <c r="J153" s="663" t="s">
        <v>29</v>
      </c>
      <c r="P153" s="286"/>
      <c r="Q153" s="26"/>
      <c r="R153" s="26"/>
      <c r="S153" s="26"/>
      <c r="T153" s="26"/>
      <c r="U153" s="26"/>
      <c r="V153" s="26"/>
    </row>
    <row r="154" spans="3:23" ht="14.25">
      <c r="C154" s="37" t="s">
        <v>139</v>
      </c>
      <c r="D154" s="761">
        <f>SUM(D143:D153)</f>
        <v>0</v>
      </c>
      <c r="E154" s="761">
        <f>SUM(E144:E153)</f>
        <v>-5343000</v>
      </c>
      <c r="F154" s="761">
        <f>SUM(F144:F153)</f>
        <v>-5343000</v>
      </c>
      <c r="G154" s="761">
        <f>SUM(G144:G153)</f>
        <v>-5343000</v>
      </c>
      <c r="H154" s="761">
        <f>SUM(H144:H153)</f>
        <v>-5343000</v>
      </c>
      <c r="I154" s="761">
        <f>SUM(I144:I153)</f>
        <v>-5343000</v>
      </c>
      <c r="J154" s="1055">
        <f>NPV(C176,E154:I154)+D154</f>
        <v>-18571755.94305614</v>
      </c>
      <c r="P154" s="37"/>
      <c r="Q154" s="35"/>
      <c r="R154" s="35"/>
      <c r="S154" s="35"/>
      <c r="T154" s="35"/>
      <c r="U154" s="35"/>
      <c r="V154" s="35"/>
      <c r="W154" s="297"/>
    </row>
    <row r="155" spans="3:23">
      <c r="C155" s="3"/>
      <c r="E155" s="5"/>
      <c r="F155" s="5"/>
      <c r="G155" s="5"/>
      <c r="H155" s="5"/>
      <c r="I155" s="5"/>
    </row>
    <row r="156" spans="3:23">
      <c r="D156" s="1051"/>
    </row>
    <row r="157" spans="3:23">
      <c r="E157" s="297"/>
      <c r="K157" s="274"/>
    </row>
    <row r="158" spans="3:23" ht="127.5">
      <c r="C158" s="593"/>
      <c r="D158" s="380"/>
      <c r="E158" s="380"/>
      <c r="F158" s="380"/>
      <c r="G158" s="1237" t="s">
        <v>1188</v>
      </c>
      <c r="H158" s="380"/>
      <c r="I158" s="380"/>
    </row>
    <row r="159" spans="3:23" ht="12.75" customHeight="1">
      <c r="N159" s="299"/>
      <c r="O159" s="299"/>
      <c r="P159" s="299"/>
      <c r="Q159" s="299"/>
    </row>
    <row r="160" spans="3:23">
      <c r="N160" s="299"/>
      <c r="O160" s="299"/>
      <c r="P160" s="299"/>
      <c r="Q160" s="299"/>
    </row>
    <row r="161" spans="2:17">
      <c r="N161" s="299"/>
      <c r="O161" s="299"/>
      <c r="P161" s="299"/>
      <c r="Q161" s="299"/>
    </row>
    <row r="162" spans="2:17">
      <c r="N162" s="299"/>
      <c r="O162" s="299"/>
      <c r="P162" s="299"/>
      <c r="Q162" s="299"/>
    </row>
    <row r="163" spans="2:17">
      <c r="K163" s="299"/>
      <c r="L163" s="299"/>
      <c r="M163" s="299"/>
      <c r="N163" s="299"/>
    </row>
    <row r="164" spans="2:17">
      <c r="K164" s="299"/>
      <c r="L164" s="299"/>
      <c r="M164" s="299"/>
      <c r="N164" s="299"/>
    </row>
    <row r="165" spans="2:17">
      <c r="K165" s="299"/>
      <c r="L165" s="299"/>
      <c r="M165" s="299"/>
      <c r="N165" s="299"/>
    </row>
    <row r="166" spans="2:17">
      <c r="G166" s="25"/>
      <c r="H166" s="25" t="s">
        <v>483</v>
      </c>
      <c r="I166" s="25" t="s">
        <v>484</v>
      </c>
      <c r="K166" s="299"/>
      <c r="L166" s="299"/>
      <c r="M166" s="299"/>
      <c r="N166" s="299"/>
    </row>
    <row r="167" spans="2:17">
      <c r="G167" s="25" t="s">
        <v>485</v>
      </c>
      <c r="H167" s="343"/>
      <c r="I167" s="134"/>
      <c r="K167" s="299"/>
      <c r="L167" s="299"/>
      <c r="M167" s="299"/>
      <c r="N167" s="299"/>
    </row>
    <row r="168" spans="2:17">
      <c r="G168" s="25" t="s">
        <v>486</v>
      </c>
      <c r="H168" s="343"/>
      <c r="I168" s="134"/>
      <c r="N168" s="299"/>
      <c r="O168" s="299"/>
      <c r="P168" s="299"/>
      <c r="Q168" s="299"/>
    </row>
    <row r="169" spans="2:17">
      <c r="G169" s="25" t="s">
        <v>487</v>
      </c>
      <c r="H169" s="343"/>
      <c r="I169" s="134"/>
      <c r="N169" s="299"/>
      <c r="O169" s="299"/>
      <c r="P169" s="299"/>
      <c r="Q169" s="299"/>
    </row>
    <row r="170" spans="2:17">
      <c r="G170" s="271" t="s">
        <v>150</v>
      </c>
      <c r="H170" s="344"/>
      <c r="I170" s="25"/>
      <c r="J170" t="e">
        <f>H167*I167/(H167+H168)</f>
        <v>#DIV/0!</v>
      </c>
      <c r="N170" s="299"/>
      <c r="O170" s="299"/>
      <c r="P170" s="299"/>
      <c r="Q170" s="299"/>
    </row>
    <row r="171" spans="2:17">
      <c r="N171" s="299"/>
      <c r="O171" s="299"/>
      <c r="P171" s="299"/>
      <c r="Q171" s="299"/>
    </row>
    <row r="172" spans="2:17" ht="15">
      <c r="G172" s="345" t="s">
        <v>488</v>
      </c>
      <c r="H172" s="346"/>
      <c r="I172" t="s">
        <v>498</v>
      </c>
      <c r="N172" s="299"/>
      <c r="O172" s="299"/>
      <c r="P172" s="299"/>
      <c r="Q172" s="299"/>
    </row>
    <row r="173" spans="2:17" ht="15">
      <c r="G173" s="345" t="s">
        <v>489</v>
      </c>
      <c r="H173" s="346">
        <v>0.75</v>
      </c>
      <c r="I173" s="347" t="s">
        <v>490</v>
      </c>
    </row>
    <row r="174" spans="2:17" ht="15">
      <c r="G174" s="345" t="s">
        <v>491</v>
      </c>
      <c r="H174" s="346">
        <v>0.25</v>
      </c>
      <c r="I174" s="347" t="s">
        <v>492</v>
      </c>
    </row>
    <row r="175" spans="2:17" ht="15.75" thickBot="1">
      <c r="G175" s="345" t="s">
        <v>493</v>
      </c>
      <c r="H175" s="346"/>
      <c r="I175" t="s">
        <v>494</v>
      </c>
      <c r="M175" t="s">
        <v>448</v>
      </c>
      <c r="N175" s="304">
        <v>150000</v>
      </c>
      <c r="O175" s="352"/>
    </row>
    <row r="176" spans="2:17" ht="15">
      <c r="B176" s="40" t="s">
        <v>140</v>
      </c>
      <c r="C176" s="285">
        <f>C184*C178+C185*(1-C182)*C183</f>
        <v>0.13486200000000001</v>
      </c>
      <c r="G176" s="345" t="s">
        <v>495</v>
      </c>
      <c r="H176" s="346"/>
      <c r="I176" t="s">
        <v>496</v>
      </c>
      <c r="M176" t="s">
        <v>448</v>
      </c>
      <c r="N176" s="305">
        <v>160000</v>
      </c>
      <c r="O176" s="353"/>
    </row>
    <row r="177" spans="2:15" ht="15.75" thickBot="1">
      <c r="B177" s="42" t="s">
        <v>141</v>
      </c>
      <c r="C177" s="43" t="s">
        <v>142</v>
      </c>
      <c r="M177" t="s">
        <v>449</v>
      </c>
    </row>
    <row r="178" spans="2:15" ht="15.75" thickBot="1">
      <c r="B178" s="44" t="s">
        <v>143</v>
      </c>
      <c r="C178" s="573">
        <f>C179+C180*(C181-C179)</f>
        <v>0.13</v>
      </c>
      <c r="G178" s="348" t="s">
        <v>497</v>
      </c>
      <c r="H178" s="349">
        <f>H172*H173+H175*H174*(1-H176)</f>
        <v>0</v>
      </c>
    </row>
    <row r="179" spans="2:15" ht="15">
      <c r="B179" s="44" t="s">
        <v>144</v>
      </c>
      <c r="C179" s="783">
        <v>0.04</v>
      </c>
      <c r="D179" s="785" t="s">
        <v>889</v>
      </c>
    </row>
    <row r="180" spans="2:15" ht="18.75" thickBot="1">
      <c r="B180" s="47" t="s">
        <v>7</v>
      </c>
      <c r="C180" s="784">
        <v>1.5</v>
      </c>
      <c r="D180" s="786" t="s">
        <v>886</v>
      </c>
      <c r="I180" s="350" t="s">
        <v>502</v>
      </c>
    </row>
    <row r="181" spans="2:15" ht="18">
      <c r="B181" s="47" t="s">
        <v>146</v>
      </c>
      <c r="C181" s="49">
        <v>0.1</v>
      </c>
      <c r="D181" s="4" t="s">
        <v>890</v>
      </c>
      <c r="I181" s="350" t="s">
        <v>883</v>
      </c>
    </row>
    <row r="182" spans="2:15" ht="18">
      <c r="B182" s="47" t="s">
        <v>148</v>
      </c>
      <c r="C182" s="49">
        <v>0.35</v>
      </c>
      <c r="D182" s="4" t="s">
        <v>1161</v>
      </c>
      <c r="I182" s="350" t="s">
        <v>884</v>
      </c>
    </row>
    <row r="183" spans="2:15" ht="18">
      <c r="B183" s="47" t="s">
        <v>150</v>
      </c>
      <c r="C183" s="49">
        <f>P202</f>
        <v>0.21870000000000001</v>
      </c>
      <c r="D183" s="4"/>
      <c r="I183" s="350" t="s">
        <v>885</v>
      </c>
    </row>
    <row r="184" spans="2:15">
      <c r="B184" s="47" t="s">
        <v>152</v>
      </c>
      <c r="C184" s="49">
        <v>0.6</v>
      </c>
      <c r="D184" s="4"/>
      <c r="E184" s="4"/>
      <c r="F184" s="4"/>
    </row>
    <row r="185" spans="2:15" ht="13.5" thickBot="1">
      <c r="B185" s="50" t="s">
        <v>154</v>
      </c>
      <c r="C185" s="51">
        <v>0.4</v>
      </c>
      <c r="D185" s="4"/>
      <c r="E185" s="4"/>
      <c r="F185" s="4"/>
    </row>
    <row r="186" spans="2:15">
      <c r="B186" s="1253" t="s">
        <v>1239</v>
      </c>
      <c r="C186" s="208">
        <v>0.19</v>
      </c>
      <c r="D186" s="351" t="s">
        <v>1240</v>
      </c>
    </row>
    <row r="187" spans="2:15" ht="15.75">
      <c r="L187" s="579"/>
    </row>
    <row r="188" spans="2:15">
      <c r="K188" s="254"/>
      <c r="L188" s="208"/>
    </row>
    <row r="189" spans="2:15">
      <c r="K189" s="254"/>
      <c r="L189" s="208"/>
      <c r="N189" s="580">
        <f>L202</f>
        <v>520000</v>
      </c>
      <c r="O189" s="208">
        <v>1</v>
      </c>
    </row>
    <row r="190" spans="2:15" ht="14.25">
      <c r="B190" s="570" t="s">
        <v>143</v>
      </c>
      <c r="C190" s="571">
        <f>C192+C191*(C193-C192)</f>
        <v>0.41000000000000003</v>
      </c>
      <c r="D190" t="s">
        <v>744</v>
      </c>
      <c r="K190" s="254"/>
      <c r="L190" s="1215"/>
      <c r="N190" s="580">
        <f>L199</f>
        <v>100000</v>
      </c>
      <c r="O190" s="581">
        <f>(N190*O189)/N189</f>
        <v>0.19230769230769232</v>
      </c>
    </row>
    <row r="191" spans="2:15" ht="14.25">
      <c r="B191" s="570" t="s">
        <v>745</v>
      </c>
      <c r="C191" s="491">
        <v>1.8</v>
      </c>
      <c r="D191" t="s">
        <v>746</v>
      </c>
    </row>
    <row r="192" spans="2:15" ht="14.25">
      <c r="B192" s="570" t="s">
        <v>144</v>
      </c>
      <c r="C192" s="572">
        <v>0.05</v>
      </c>
      <c r="D192" t="s">
        <v>747</v>
      </c>
      <c r="N192" s="580">
        <f>L202</f>
        <v>520000</v>
      </c>
      <c r="O192" s="208">
        <v>1</v>
      </c>
    </row>
    <row r="193" spans="2:16" ht="14.25">
      <c r="B193" s="570" t="s">
        <v>146</v>
      </c>
      <c r="C193" s="572">
        <v>0.25</v>
      </c>
      <c r="E193" s="574"/>
      <c r="F193" s="574"/>
      <c r="G193" s="574"/>
      <c r="H193" s="574"/>
      <c r="N193" s="582">
        <f>L200</f>
        <v>120000</v>
      </c>
      <c r="O193" s="583">
        <f>(N193*O192)/N192</f>
        <v>0.23076923076923078</v>
      </c>
    </row>
    <row r="194" spans="2:16">
      <c r="E194" s="303"/>
      <c r="F194" s="303"/>
      <c r="G194" s="303"/>
      <c r="H194" s="303"/>
    </row>
    <row r="195" spans="2:16">
      <c r="C195" s="303"/>
      <c r="D195" s="303"/>
      <c r="E195" s="303"/>
      <c r="F195" s="303"/>
      <c r="G195" s="303"/>
      <c r="H195" s="303"/>
      <c r="L195" t="s">
        <v>751</v>
      </c>
      <c r="N195" s="580">
        <f>L202</f>
        <v>520000</v>
      </c>
      <c r="O195" s="208">
        <v>1</v>
      </c>
    </row>
    <row r="196" spans="2:16" ht="14.25">
      <c r="C196" s="575"/>
      <c r="D196" s="576"/>
      <c r="E196" s="574"/>
      <c r="F196" s="584"/>
      <c r="G196" s="576"/>
      <c r="H196" s="576"/>
      <c r="N196" s="582">
        <f>L201</f>
        <v>300000</v>
      </c>
      <c r="O196" s="585">
        <f>(N196*O195)/N195</f>
        <v>0.57692307692307687</v>
      </c>
    </row>
    <row r="198" spans="2:16" ht="14.25">
      <c r="L198" s="570" t="s">
        <v>752</v>
      </c>
      <c r="N198" s="491" t="s">
        <v>1103</v>
      </c>
    </row>
    <row r="199" spans="2:16" ht="14.25">
      <c r="B199" s="570"/>
      <c r="C199" s="578"/>
      <c r="L199" s="582">
        <v>100000</v>
      </c>
      <c r="N199" s="468">
        <v>0.5</v>
      </c>
      <c r="O199" s="586">
        <v>0.25</v>
      </c>
      <c r="P199" s="578">
        <f>N199*O199</f>
        <v>0.125</v>
      </c>
    </row>
    <row r="200" spans="2:16" ht="15" thickBot="1">
      <c r="L200" s="582">
        <v>120000</v>
      </c>
      <c r="N200" s="468">
        <v>0.35</v>
      </c>
      <c r="O200" s="1217">
        <v>0.11</v>
      </c>
      <c r="P200" s="578">
        <f>N200*O200</f>
        <v>3.85E-2</v>
      </c>
    </row>
    <row r="201" spans="2:16" ht="15" thickBot="1">
      <c r="C201" s="1782" t="s">
        <v>888</v>
      </c>
      <c r="D201" s="1783"/>
      <c r="E201" s="1783"/>
      <c r="F201" s="1783"/>
      <c r="G201" s="1783"/>
      <c r="H201" s="1783"/>
      <c r="I201" s="1784"/>
      <c r="L201" s="588">
        <v>300000</v>
      </c>
      <c r="N201" s="468">
        <v>0.48</v>
      </c>
      <c r="O201" s="1216">
        <v>0.115</v>
      </c>
      <c r="P201" s="578">
        <f>N201*O201</f>
        <v>5.5199999999999999E-2</v>
      </c>
    </row>
    <row r="202" spans="2:16" ht="15">
      <c r="C202" s="772" t="s">
        <v>143</v>
      </c>
      <c r="D202" s="773">
        <f>D204+D203*(D205-D204)</f>
        <v>0.41000000000000003</v>
      </c>
      <c r="E202" s="774" t="s">
        <v>744</v>
      </c>
      <c r="F202" s="774"/>
      <c r="G202" s="774"/>
      <c r="H202" s="774"/>
      <c r="I202" s="775"/>
      <c r="L202" s="582">
        <f>SUM(L199:L201)</f>
        <v>520000</v>
      </c>
      <c r="N202" s="491"/>
      <c r="P202" s="591">
        <f>SUM(P199:P201)</f>
        <v>0.21870000000000001</v>
      </c>
    </row>
    <row r="203" spans="2:16" ht="14.25">
      <c r="C203" s="776" t="s">
        <v>745</v>
      </c>
      <c r="D203" s="777">
        <v>1.8</v>
      </c>
      <c r="E203" s="257" t="s">
        <v>746</v>
      </c>
      <c r="F203" s="257"/>
      <c r="G203" s="257"/>
      <c r="H203" s="257"/>
      <c r="I203" s="778"/>
      <c r="N203" s="491"/>
    </row>
    <row r="204" spans="2:16" ht="14.25">
      <c r="C204" s="776" t="s">
        <v>144</v>
      </c>
      <c r="D204" s="779">
        <v>0.05</v>
      </c>
      <c r="E204" s="257" t="s">
        <v>747</v>
      </c>
      <c r="F204" s="257"/>
      <c r="G204" s="257"/>
      <c r="H204" s="257"/>
      <c r="I204" s="778"/>
    </row>
    <row r="205" spans="2:16" ht="14.25">
      <c r="C205" s="776" t="s">
        <v>146</v>
      </c>
      <c r="D205" s="779">
        <v>0.25</v>
      </c>
      <c r="E205" s="257"/>
      <c r="F205" s="257"/>
      <c r="G205" s="257"/>
      <c r="H205" s="257"/>
      <c r="I205" s="778"/>
      <c r="L205" s="548"/>
      <c r="M205" s="548"/>
      <c r="N205" s="548"/>
    </row>
    <row r="206" spans="2:16" ht="13.5" thickBot="1">
      <c r="C206" s="780"/>
      <c r="D206" s="781"/>
      <c r="E206" s="781"/>
      <c r="F206" s="781"/>
      <c r="G206" s="781"/>
      <c r="H206" s="781"/>
      <c r="I206" s="782"/>
      <c r="M206" s="787"/>
      <c r="N206" s="788"/>
    </row>
    <row r="207" spans="2:16">
      <c r="M207" s="787"/>
    </row>
    <row r="208" spans="2:16" ht="14.25">
      <c r="M208" s="789"/>
    </row>
  </sheetData>
  <mergeCells count="20">
    <mergeCell ref="I95:L95"/>
    <mergeCell ref="D98:G98"/>
    <mergeCell ref="J132:M132"/>
    <mergeCell ref="C201:I201"/>
    <mergeCell ref="D61:D67"/>
    <mergeCell ref="V66:Y66"/>
    <mergeCell ref="M75:Q75"/>
    <mergeCell ref="M83:Q83"/>
    <mergeCell ref="B84:K84"/>
    <mergeCell ref="N85:O91"/>
    <mergeCell ref="K86:K90"/>
    <mergeCell ref="L86:L89"/>
    <mergeCell ref="M86:M90"/>
    <mergeCell ref="E91:F91"/>
    <mergeCell ref="M45:O45"/>
    <mergeCell ref="A2:B12"/>
    <mergeCell ref="M30:N30"/>
    <mergeCell ref="O35:S35"/>
    <mergeCell ref="M41:O41"/>
    <mergeCell ref="M42:O42"/>
  </mergeCells>
  <conditionalFormatting sqref="G63:K63">
    <cfRule type="containsText" dxfId="2" priority="1" operator="containsText" text="999">
      <formula>NOT(ISERROR(SEARCH(("999"),(G63))))</formula>
    </cfRule>
  </conditionalFormatting>
  <pageMargins left="0.7" right="0.7" top="0.75" bottom="0.75" header="0.3" footer="0.3"/>
  <pageSetup orientation="portrait" r:id="rId1"/>
  <drawing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0743-0A9F-42F9-936D-12144452CC61}">
  <dimension ref="S6:W13"/>
  <sheetViews>
    <sheetView topLeftCell="B1" zoomScale="130" zoomScaleNormal="130" workbookViewId="0">
      <selection activeCell="Q41" sqref="Q41"/>
    </sheetView>
  </sheetViews>
  <sheetFormatPr defaultRowHeight="12.75"/>
  <sheetData>
    <row r="6" spans="19:23">
      <c r="S6" s="767" t="s">
        <v>1490</v>
      </c>
      <c r="T6" s="257"/>
      <c r="U6" s="257"/>
      <c r="V6" s="257"/>
      <c r="W6" s="257"/>
    </row>
    <row r="7" spans="19:23">
      <c r="S7" s="767" t="s">
        <v>1491</v>
      </c>
      <c r="T7" s="257"/>
      <c r="U7" s="257"/>
      <c r="V7" s="257"/>
      <c r="W7" s="257"/>
    </row>
    <row r="8" spans="19:23">
      <c r="S8" s="257"/>
      <c r="T8" s="257"/>
      <c r="U8" s="257"/>
      <c r="V8" s="257"/>
      <c r="W8" s="257"/>
    </row>
    <row r="9" spans="19:23">
      <c r="S9" s="767" t="s">
        <v>1488</v>
      </c>
      <c r="T9" s="257"/>
      <c r="U9" s="257"/>
      <c r="V9" s="257"/>
      <c r="W9" s="257"/>
    </row>
    <row r="10" spans="19:23">
      <c r="S10" s="767" t="s">
        <v>1489</v>
      </c>
      <c r="T10" s="257"/>
      <c r="U10" s="257"/>
      <c r="V10" s="257"/>
      <c r="W10" s="257"/>
    </row>
    <row r="11" spans="19:23">
      <c r="S11" s="257"/>
      <c r="T11" s="257"/>
      <c r="U11" s="257"/>
      <c r="V11" s="257"/>
      <c r="W11" s="257"/>
    </row>
    <row r="12" spans="19:23">
      <c r="S12" s="257"/>
      <c r="T12" s="257"/>
      <c r="U12" s="257"/>
      <c r="V12" s="257"/>
      <c r="W12" s="257"/>
    </row>
    <row r="13" spans="19:23">
      <c r="S13" s="257"/>
      <c r="T13" s="257"/>
      <c r="U13" s="257"/>
      <c r="V13" s="257"/>
      <c r="W13" s="257"/>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F74F7-B824-4374-A5BA-847DCE2AE554}">
  <dimension ref="A1:Z1030"/>
  <sheetViews>
    <sheetView showGridLines="0" zoomScale="90" zoomScaleNormal="90" workbookViewId="0">
      <selection activeCell="F15" sqref="F15"/>
    </sheetView>
  </sheetViews>
  <sheetFormatPr defaultColWidth="14.42578125" defaultRowHeight="15" customHeight="1"/>
  <cols>
    <col min="1" max="1" width="41.5703125" style="1323" customWidth="1"/>
    <col min="2" max="2" width="15.85546875" style="1323" customWidth="1"/>
    <col min="3" max="3" width="16.5703125" style="1323" customWidth="1"/>
    <col min="4" max="4" width="15" style="1323" customWidth="1"/>
    <col min="5" max="5" width="18.140625" style="1323" customWidth="1"/>
    <col min="6" max="7" width="16.140625" style="1323" customWidth="1"/>
    <col min="8" max="26" width="9.140625" style="1323" customWidth="1"/>
    <col min="27" max="16384" width="14.42578125" style="1323"/>
  </cols>
  <sheetData>
    <row r="1" spans="1:26" ht="36" customHeight="1">
      <c r="A1" s="1321"/>
      <c r="B1" s="1321"/>
      <c r="C1" s="1322"/>
      <c r="D1" s="1322"/>
      <c r="E1" s="1322"/>
      <c r="F1" s="1322"/>
      <c r="G1" s="1322"/>
    </row>
    <row r="2" spans="1:26" ht="36" customHeight="1">
      <c r="A2" s="1324" t="s">
        <v>1294</v>
      </c>
      <c r="B2" s="1324"/>
      <c r="C2" s="1322">
        <f>10000*0.35</f>
        <v>3500</v>
      </c>
      <c r="D2" s="1322">
        <f>10000*0.4</f>
        <v>4000</v>
      </c>
      <c r="E2" s="1322">
        <f>10000*0.45</f>
        <v>4500</v>
      </c>
      <c r="F2" s="1322">
        <f>M4*0.5</f>
        <v>5600.0000000000009</v>
      </c>
      <c r="G2" s="1322">
        <f>F2</f>
        <v>5600.0000000000009</v>
      </c>
      <c r="K2" s="1325" t="s">
        <v>1295</v>
      </c>
    </row>
    <row r="3" spans="1:26" ht="36" customHeight="1">
      <c r="A3" s="1324" t="s">
        <v>1296</v>
      </c>
      <c r="B3" s="1326"/>
      <c r="C3" s="1327">
        <f>C2*K9</f>
        <v>7000000</v>
      </c>
      <c r="D3" s="1327">
        <f>D2*L9</f>
        <v>8400000</v>
      </c>
      <c r="E3" s="1327">
        <f>E2*M9</f>
        <v>9922500</v>
      </c>
      <c r="F3" s="1327">
        <f>F2*N9</f>
        <v>12965400.000000002</v>
      </c>
      <c r="G3" s="1327">
        <f>G2*O9</f>
        <v>13613670.000000004</v>
      </c>
      <c r="K3" s="1325" t="s">
        <v>1297</v>
      </c>
    </row>
    <row r="4" spans="1:26" ht="36" customHeight="1">
      <c r="A4" s="1328" t="s">
        <v>1298</v>
      </c>
      <c r="B4" s="1328" t="s">
        <v>818</v>
      </c>
      <c r="C4" s="1328" t="s">
        <v>451</v>
      </c>
      <c r="D4" s="1328" t="s">
        <v>632</v>
      </c>
      <c r="E4" s="1328" t="s">
        <v>793</v>
      </c>
      <c r="F4" s="1328" t="s">
        <v>794</v>
      </c>
      <c r="G4" s="1328" t="s">
        <v>795</v>
      </c>
      <c r="K4" s="1325" t="s">
        <v>1299</v>
      </c>
      <c r="M4" s="1323">
        <f>10000*1.12</f>
        <v>11200.000000000002</v>
      </c>
    </row>
    <row r="5" spans="1:26">
      <c r="A5" s="1329" t="s">
        <v>1300</v>
      </c>
      <c r="B5" s="1330"/>
      <c r="C5" s="1330"/>
      <c r="D5" s="1330"/>
      <c r="E5" s="1330"/>
      <c r="F5" s="1330"/>
      <c r="G5" s="1330"/>
    </row>
    <row r="6" spans="1:26">
      <c r="A6" s="1331" t="s">
        <v>1296</v>
      </c>
      <c r="B6" s="1332"/>
      <c r="C6" s="1559">
        <f>C3</f>
        <v>7000000</v>
      </c>
      <c r="D6" s="1559">
        <f>D3</f>
        <v>8400000</v>
      </c>
      <c r="E6" s="1559">
        <f>E3</f>
        <v>9922500</v>
      </c>
      <c r="F6" s="1559">
        <f>F3</f>
        <v>12965400.000000002</v>
      </c>
      <c r="G6" s="1559">
        <f>G3</f>
        <v>13613670.000000004</v>
      </c>
      <c r="H6" s="1334"/>
      <c r="I6" s="1334"/>
      <c r="J6" s="1334"/>
      <c r="K6" s="1334"/>
      <c r="L6" s="1334"/>
      <c r="M6" s="1334"/>
      <c r="N6" s="1334"/>
      <c r="O6" s="1334"/>
      <c r="P6" s="1334"/>
      <c r="Q6" s="1334"/>
      <c r="R6" s="1334"/>
      <c r="S6" s="1334"/>
      <c r="T6" s="1334"/>
      <c r="U6" s="1334"/>
      <c r="V6" s="1334"/>
      <c r="W6" s="1334"/>
      <c r="X6" s="1334"/>
      <c r="Y6" s="1334"/>
      <c r="Z6" s="1334"/>
    </row>
    <row r="7" spans="1:26">
      <c r="A7" s="1334" t="s">
        <v>1301</v>
      </c>
      <c r="B7" s="1332"/>
      <c r="C7" s="1560"/>
      <c r="D7" s="1560"/>
      <c r="E7" s="1560"/>
      <c r="F7" s="1560"/>
      <c r="G7" s="1559">
        <f>B49*-0.3</f>
        <v>48000</v>
      </c>
      <c r="H7" s="1334"/>
      <c r="I7" s="1334"/>
      <c r="J7" s="1334"/>
      <c r="K7" s="1334"/>
      <c r="L7" s="1334"/>
      <c r="M7" s="1334"/>
      <c r="N7" s="1334"/>
      <c r="O7" s="1334"/>
      <c r="P7" s="1334"/>
      <c r="Q7" s="1334"/>
      <c r="R7" s="1334"/>
      <c r="S7" s="1334"/>
      <c r="T7" s="1334"/>
      <c r="U7" s="1334"/>
      <c r="V7" s="1334"/>
      <c r="W7" s="1334"/>
      <c r="X7" s="1334"/>
      <c r="Y7" s="1334"/>
      <c r="Z7" s="1334"/>
    </row>
    <row r="8" spans="1:26">
      <c r="A8" s="1325" t="s">
        <v>1302</v>
      </c>
      <c r="C8" s="1562"/>
      <c r="D8" s="1562"/>
      <c r="E8" s="1562"/>
      <c r="F8" s="1562"/>
      <c r="G8" s="1559">
        <f>B50*-0.6</f>
        <v>2640000</v>
      </c>
      <c r="H8" s="1334"/>
      <c r="I8" s="1334"/>
      <c r="J8" s="1334"/>
      <c r="K8" s="1334" t="s">
        <v>1303</v>
      </c>
      <c r="L8" s="1334"/>
      <c r="M8" s="1334"/>
      <c r="N8" s="1334"/>
      <c r="O8" s="1334"/>
      <c r="P8" s="1334"/>
      <c r="Q8" s="1334"/>
      <c r="R8" s="1334"/>
      <c r="S8" s="1334"/>
      <c r="T8" s="1334"/>
      <c r="U8" s="1334"/>
      <c r="V8" s="1334"/>
      <c r="W8" s="1334"/>
      <c r="X8" s="1334"/>
      <c r="Y8" s="1334"/>
      <c r="Z8" s="1334"/>
    </row>
    <row r="9" spans="1:26">
      <c r="A9" s="1325" t="s">
        <v>1304</v>
      </c>
      <c r="C9" s="1562"/>
      <c r="D9" s="1562"/>
      <c r="E9" s="1562"/>
      <c r="F9" s="1562"/>
      <c r="G9" s="1559">
        <f>B51*-0.6</f>
        <v>360000</v>
      </c>
      <c r="H9" s="1334"/>
      <c r="I9" s="1334"/>
      <c r="J9" s="1334"/>
      <c r="K9" s="1334">
        <v>2000</v>
      </c>
      <c r="L9" s="1334">
        <f>2000*1.05</f>
        <v>2100</v>
      </c>
      <c r="M9" s="1334">
        <f>L9*1.05</f>
        <v>2205</v>
      </c>
      <c r="N9" s="1334">
        <f>M9*1.05</f>
        <v>2315.25</v>
      </c>
      <c r="O9" s="1334">
        <f>N9*1.05</f>
        <v>2431.0125000000003</v>
      </c>
      <c r="P9" s="1334"/>
      <c r="Q9" s="1334"/>
      <c r="R9" s="1334"/>
      <c r="S9" s="1334"/>
      <c r="T9" s="1334"/>
      <c r="U9" s="1334"/>
      <c r="V9" s="1334"/>
      <c r="W9" s="1334"/>
      <c r="X9" s="1334"/>
      <c r="Y9" s="1334"/>
      <c r="Z9" s="1334"/>
    </row>
    <row r="10" spans="1:26">
      <c r="A10" s="1325" t="s">
        <v>1305</v>
      </c>
      <c r="C10" s="1562"/>
      <c r="D10" s="1562"/>
      <c r="E10" s="1562"/>
      <c r="F10" s="1562"/>
      <c r="G10" s="1559">
        <f>B52*-0.1</f>
        <v>180000</v>
      </c>
      <c r="H10" s="1334"/>
      <c r="I10" s="1334"/>
      <c r="J10" s="1334"/>
      <c r="K10" s="1334"/>
      <c r="L10" s="1334"/>
      <c r="M10" s="1334"/>
      <c r="N10" s="1334"/>
      <c r="O10" s="1334"/>
      <c r="P10" s="1334"/>
      <c r="Q10" s="1334"/>
      <c r="R10" s="1334"/>
      <c r="S10" s="1334"/>
      <c r="T10" s="1334"/>
      <c r="U10" s="1334"/>
      <c r="V10" s="1334"/>
      <c r="W10" s="1334"/>
      <c r="X10" s="1334"/>
      <c r="Y10" s="1334"/>
      <c r="Z10" s="1334"/>
    </row>
    <row r="11" spans="1:26">
      <c r="A11" s="1325" t="s">
        <v>1306</v>
      </c>
      <c r="C11" s="1562"/>
      <c r="D11" s="1562"/>
      <c r="E11" s="1562"/>
      <c r="F11" s="1562"/>
      <c r="G11" s="1559">
        <f>E53*-0.6</f>
        <v>600000</v>
      </c>
      <c r="H11" s="1334"/>
      <c r="I11" s="1334"/>
      <c r="J11" s="1334"/>
      <c r="K11" s="1334"/>
      <c r="L11" s="1334"/>
      <c r="M11" s="1334"/>
      <c r="N11" s="1334"/>
      <c r="O11" s="1334"/>
      <c r="P11" s="1334"/>
      <c r="Q11" s="1334"/>
      <c r="R11" s="1334"/>
      <c r="S11" s="1334"/>
      <c r="T11" s="1334"/>
      <c r="U11" s="1334"/>
      <c r="V11" s="1334"/>
      <c r="W11" s="1334"/>
      <c r="X11" s="1334"/>
      <c r="Y11" s="1334"/>
      <c r="Z11" s="1334"/>
    </row>
    <row r="12" spans="1:26">
      <c r="A12" s="1325" t="s">
        <v>1307</v>
      </c>
      <c r="C12" s="1562"/>
      <c r="D12" s="1562"/>
      <c r="E12" s="1562"/>
      <c r="F12" s="1562"/>
      <c r="G12" s="1559">
        <f>E54*-0.6</f>
        <v>72000</v>
      </c>
      <c r="H12" s="1334"/>
      <c r="I12" s="1334"/>
      <c r="J12" s="1334"/>
      <c r="K12" s="1334"/>
      <c r="L12" s="1334"/>
      <c r="M12" s="1334"/>
      <c r="N12" s="1334"/>
      <c r="O12" s="1334"/>
      <c r="P12" s="1334"/>
      <c r="Q12" s="1334"/>
      <c r="R12" s="1334"/>
      <c r="S12" s="1334"/>
      <c r="T12" s="1334"/>
      <c r="U12" s="1334"/>
      <c r="V12" s="1334"/>
      <c r="W12" s="1334"/>
      <c r="X12" s="1334"/>
      <c r="Y12" s="1334"/>
      <c r="Z12" s="1334"/>
    </row>
    <row r="13" spans="1:26">
      <c r="C13" s="1562"/>
      <c r="D13" s="1562"/>
      <c r="E13" s="1562"/>
      <c r="F13" s="1562"/>
      <c r="G13" s="1559"/>
      <c r="H13" s="1334"/>
      <c r="I13" s="1334"/>
      <c r="J13" s="1334"/>
      <c r="K13" s="1334"/>
      <c r="L13" s="1334"/>
      <c r="M13" s="1334"/>
      <c r="N13" s="1334"/>
      <c r="O13" s="1334"/>
      <c r="P13" s="1334"/>
      <c r="Q13" s="1334"/>
      <c r="R13" s="1334"/>
      <c r="S13" s="1334"/>
      <c r="T13" s="1334"/>
      <c r="U13" s="1334"/>
      <c r="V13" s="1334"/>
      <c r="W13" s="1334"/>
      <c r="X13" s="1334"/>
      <c r="Y13" s="1334"/>
      <c r="Z13" s="1334"/>
    </row>
    <row r="14" spans="1:26">
      <c r="A14" s="1329" t="s">
        <v>1308</v>
      </c>
      <c r="B14" s="1336"/>
      <c r="C14" s="1336"/>
      <c r="D14" s="1336"/>
      <c r="E14" s="1336"/>
      <c r="F14" s="1336"/>
      <c r="G14" s="1336"/>
    </row>
    <row r="15" spans="1:26">
      <c r="A15" s="1337" t="s">
        <v>1309</v>
      </c>
      <c r="B15" s="1332"/>
      <c r="C15" s="1560">
        <f>-200000*0.4</f>
        <v>-80000</v>
      </c>
      <c r="D15" s="1560">
        <f>-200000*0.4</f>
        <v>-80000</v>
      </c>
      <c r="E15" s="1560">
        <f>-200000*0.4</f>
        <v>-80000</v>
      </c>
      <c r="F15" s="1560">
        <f>-200000*0.4</f>
        <v>-80000</v>
      </c>
      <c r="G15" s="1560">
        <f>-200000*0.4</f>
        <v>-80000</v>
      </c>
    </row>
    <row r="16" spans="1:26">
      <c r="A16" s="1337" t="s">
        <v>1310</v>
      </c>
      <c r="B16" s="1332"/>
      <c r="C16" s="1559">
        <f>-200*C2-120*C2</f>
        <v>-1120000</v>
      </c>
      <c r="D16" s="1559">
        <f>-200*D2-120*D2</f>
        <v>-1280000</v>
      </c>
      <c r="E16" s="1559">
        <f>-200*E2-120*E2</f>
        <v>-1440000</v>
      </c>
      <c r="F16" s="1559">
        <f>-200*F2-120*F2</f>
        <v>-1792000.0000000005</v>
      </c>
      <c r="G16" s="1559">
        <f>-200*G2-120*G2</f>
        <v>-1792000.0000000005</v>
      </c>
      <c r="H16" s="1334" t="s">
        <v>1311</v>
      </c>
      <c r="I16" s="1334"/>
      <c r="J16" s="1334"/>
      <c r="K16" s="1334"/>
      <c r="L16" s="1334"/>
      <c r="M16" s="1334"/>
      <c r="N16" s="1334"/>
      <c r="O16" s="1334"/>
      <c r="P16" s="1334"/>
      <c r="Q16" s="1334"/>
      <c r="R16" s="1334"/>
      <c r="S16" s="1334"/>
      <c r="T16" s="1334"/>
      <c r="U16" s="1334"/>
      <c r="V16" s="1334"/>
      <c r="W16" s="1334"/>
      <c r="X16" s="1334"/>
      <c r="Y16" s="1334"/>
      <c r="Z16" s="1334"/>
    </row>
    <row r="17" spans="1:26">
      <c r="A17" s="1334" t="s">
        <v>1312</v>
      </c>
      <c r="B17" s="1332"/>
      <c r="C17" s="1560">
        <f>-250000*0.3</f>
        <v>-75000</v>
      </c>
      <c r="D17" s="1560">
        <f>-250000*0.3</f>
        <v>-75000</v>
      </c>
      <c r="E17" s="1560">
        <f>-250000*0.3</f>
        <v>-75000</v>
      </c>
      <c r="F17" s="1560">
        <f>-250000*0.3</f>
        <v>-75000</v>
      </c>
      <c r="G17" s="1560">
        <f>-250000*0.3</f>
        <v>-75000</v>
      </c>
      <c r="H17" s="1334"/>
      <c r="I17" s="1334"/>
      <c r="J17" s="1334"/>
      <c r="K17" s="1334"/>
      <c r="L17" s="1334"/>
      <c r="M17" s="1334"/>
      <c r="N17" s="1334"/>
      <c r="O17" s="1334"/>
      <c r="P17" s="1334"/>
      <c r="Q17" s="1334"/>
      <c r="R17" s="1334"/>
      <c r="S17" s="1334"/>
      <c r="T17" s="1334"/>
      <c r="U17" s="1334"/>
      <c r="V17" s="1334"/>
      <c r="W17" s="1334"/>
      <c r="X17" s="1334"/>
      <c r="Y17" s="1334"/>
      <c r="Z17" s="1334"/>
    </row>
    <row r="18" spans="1:26">
      <c r="A18" s="1334" t="s">
        <v>1313</v>
      </c>
      <c r="B18" s="1332"/>
      <c r="C18" s="1559">
        <f>-3000*12</f>
        <v>-36000</v>
      </c>
      <c r="D18" s="1559">
        <f>-3000*12</f>
        <v>-36000</v>
      </c>
      <c r="E18" s="1559">
        <f>-3000*12</f>
        <v>-36000</v>
      </c>
      <c r="F18" s="1559">
        <f>-3000*12</f>
        <v>-36000</v>
      </c>
      <c r="G18" s="1559">
        <f>-3000*12</f>
        <v>-36000</v>
      </c>
      <c r="H18" s="1334"/>
      <c r="I18" s="1334"/>
      <c r="J18" s="1334"/>
      <c r="K18" s="1334"/>
      <c r="L18" s="1334"/>
      <c r="M18" s="1334"/>
      <c r="N18" s="1334"/>
      <c r="O18" s="1334"/>
      <c r="P18" s="1334"/>
      <c r="Q18" s="1334"/>
      <c r="R18" s="1334"/>
      <c r="S18" s="1334"/>
      <c r="T18" s="1334"/>
      <c r="U18" s="1334"/>
      <c r="V18" s="1334"/>
      <c r="W18" s="1334"/>
      <c r="X18" s="1334"/>
      <c r="Y18" s="1334"/>
      <c r="Z18" s="1334"/>
    </row>
    <row r="19" spans="1:26">
      <c r="A19" s="1334" t="s">
        <v>1314</v>
      </c>
      <c r="B19" s="1332"/>
      <c r="C19" s="1559">
        <v>-5975.15</v>
      </c>
      <c r="D19" s="1559">
        <v>-4481</v>
      </c>
      <c r="E19" s="1559">
        <v>-2987</v>
      </c>
      <c r="F19" s="1559">
        <v>-1493</v>
      </c>
      <c r="G19" s="1559"/>
      <c r="H19" s="1566" t="s">
        <v>1486</v>
      </c>
      <c r="I19" s="1566"/>
      <c r="J19" s="1566"/>
      <c r="K19" s="1566"/>
      <c r="L19" s="1334"/>
      <c r="M19" s="1334"/>
      <c r="N19" s="1334"/>
      <c r="O19" s="1334"/>
      <c r="P19" s="1334"/>
      <c r="Q19" s="1334"/>
      <c r="R19" s="1334"/>
      <c r="S19" s="1334"/>
      <c r="T19" s="1334"/>
      <c r="U19" s="1334"/>
      <c r="V19" s="1334"/>
      <c r="W19" s="1334"/>
      <c r="X19" s="1334"/>
      <c r="Y19" s="1334"/>
      <c r="Z19" s="1334"/>
    </row>
    <row r="20" spans="1:26">
      <c r="A20" s="1325"/>
      <c r="B20" s="1332"/>
      <c r="C20" s="1561"/>
      <c r="D20" s="1561"/>
      <c r="E20" s="1561"/>
      <c r="F20" s="1561"/>
      <c r="G20" s="1561"/>
      <c r="H20" s="1334"/>
      <c r="I20" s="1334"/>
      <c r="J20" s="1334"/>
      <c r="K20" s="1334"/>
      <c r="L20" s="1334"/>
      <c r="M20" s="1334"/>
      <c r="N20" s="1334"/>
      <c r="O20" s="1334"/>
      <c r="P20" s="1334"/>
      <c r="Q20" s="1334"/>
      <c r="R20" s="1334"/>
      <c r="S20" s="1334"/>
      <c r="T20" s="1334"/>
      <c r="U20" s="1334"/>
      <c r="V20" s="1334"/>
      <c r="W20" s="1334"/>
      <c r="X20" s="1334"/>
      <c r="Y20" s="1334"/>
      <c r="Z20" s="1334"/>
    </row>
    <row r="21" spans="1:26">
      <c r="A21" s="1325"/>
      <c r="B21" s="1332"/>
      <c r="C21" s="1561"/>
      <c r="D21" s="1561"/>
      <c r="E21" s="1561"/>
      <c r="F21" s="1561"/>
      <c r="G21" s="1561"/>
      <c r="H21" s="1334"/>
      <c r="I21" s="1334"/>
      <c r="J21" s="1334"/>
      <c r="K21" s="1334"/>
      <c r="L21" s="1334"/>
      <c r="M21" s="1334"/>
      <c r="N21" s="1334"/>
      <c r="O21" s="1334"/>
      <c r="P21" s="1334"/>
      <c r="Q21" s="1334"/>
      <c r="R21" s="1334"/>
      <c r="S21" s="1334"/>
      <c r="T21" s="1334"/>
      <c r="U21" s="1334"/>
      <c r="V21" s="1334"/>
      <c r="W21" s="1334"/>
      <c r="X21" s="1334"/>
      <c r="Y21" s="1334"/>
      <c r="Z21" s="1334"/>
    </row>
    <row r="22" spans="1:26">
      <c r="A22" s="1325"/>
      <c r="B22" s="1332"/>
      <c r="C22" s="1561"/>
      <c r="D22" s="1561"/>
      <c r="E22" s="1561"/>
      <c r="F22" s="1561"/>
      <c r="G22" s="1561"/>
      <c r="H22" s="1334"/>
      <c r="I22" s="1334"/>
      <c r="J22" s="1334"/>
      <c r="K22" s="1334"/>
      <c r="L22" s="1334"/>
      <c r="M22" s="1334"/>
      <c r="N22" s="1334"/>
      <c r="O22" s="1334"/>
      <c r="P22" s="1334"/>
      <c r="Q22" s="1334"/>
      <c r="R22" s="1334"/>
      <c r="S22" s="1334"/>
      <c r="T22" s="1334"/>
      <c r="U22" s="1334"/>
      <c r="V22" s="1334"/>
      <c r="W22" s="1334"/>
      <c r="X22" s="1334"/>
      <c r="Y22" s="1334"/>
      <c r="Z22" s="1334"/>
    </row>
    <row r="23" spans="1:26">
      <c r="A23" s="1325"/>
      <c r="B23" s="1332"/>
      <c r="C23" s="1561"/>
      <c r="D23" s="1561"/>
      <c r="E23" s="1561"/>
      <c r="F23" s="1561"/>
      <c r="G23" s="1561"/>
      <c r="H23" s="1334"/>
      <c r="I23" s="1334"/>
      <c r="J23" s="1334"/>
      <c r="K23" s="1334"/>
      <c r="L23" s="1334"/>
      <c r="M23" s="1334"/>
      <c r="N23" s="1334"/>
      <c r="O23" s="1334"/>
      <c r="P23" s="1334"/>
      <c r="Q23" s="1334"/>
      <c r="R23" s="1334"/>
      <c r="S23" s="1334"/>
      <c r="T23" s="1334"/>
      <c r="U23" s="1334"/>
      <c r="V23" s="1334"/>
      <c r="W23" s="1334"/>
      <c r="X23" s="1334"/>
      <c r="Y23" s="1334"/>
      <c r="Z23" s="1334"/>
    </row>
    <row r="24" spans="1:26">
      <c r="A24" s="1325"/>
      <c r="B24" s="1332"/>
      <c r="C24" s="1561"/>
      <c r="D24" s="1561"/>
      <c r="E24" s="1561"/>
      <c r="F24" s="1561"/>
      <c r="G24" s="1561"/>
      <c r="H24" s="1334"/>
      <c r="I24" s="1334"/>
      <c r="J24" s="1334"/>
      <c r="K24" s="1334"/>
      <c r="L24" s="1334"/>
      <c r="M24" s="1334"/>
      <c r="N24" s="1334"/>
      <c r="O24" s="1334"/>
      <c r="P24" s="1334"/>
      <c r="Q24" s="1334"/>
      <c r="R24" s="1334"/>
      <c r="S24" s="1334"/>
      <c r="T24" s="1334"/>
      <c r="U24" s="1334"/>
      <c r="V24" s="1334"/>
      <c r="W24" s="1334"/>
      <c r="X24" s="1334"/>
      <c r="Y24" s="1334"/>
      <c r="Z24" s="1334"/>
    </row>
    <row r="25" spans="1:26">
      <c r="A25" s="1325"/>
      <c r="B25" s="1332"/>
      <c r="C25" s="1561"/>
      <c r="D25" s="1561"/>
      <c r="E25" s="1561"/>
      <c r="F25" s="1561"/>
      <c r="G25" s="1561"/>
      <c r="H25" s="1334"/>
      <c r="I25" s="1334"/>
      <c r="J25" s="1334"/>
      <c r="K25" s="1334"/>
      <c r="L25" s="1334"/>
      <c r="M25" s="1334"/>
      <c r="N25" s="1334"/>
      <c r="O25" s="1334"/>
      <c r="P25" s="1334"/>
      <c r="Q25" s="1334"/>
      <c r="R25" s="1334"/>
      <c r="S25" s="1334"/>
      <c r="T25" s="1334"/>
      <c r="U25" s="1334"/>
      <c r="V25" s="1334"/>
      <c r="W25" s="1334"/>
      <c r="X25" s="1334"/>
      <c r="Y25" s="1334"/>
      <c r="Z25" s="1334"/>
    </row>
    <row r="26" spans="1:26">
      <c r="A26" s="1325"/>
      <c r="B26" s="1332"/>
      <c r="C26" s="1561"/>
      <c r="D26" s="1561"/>
      <c r="E26" s="1561"/>
      <c r="F26" s="1561"/>
      <c r="G26" s="1561"/>
      <c r="H26" s="1334"/>
      <c r="I26" s="1334"/>
      <c r="J26" s="1334"/>
      <c r="K26" s="1334"/>
      <c r="L26" s="1334"/>
      <c r="M26" s="1334"/>
      <c r="N26" s="1334"/>
      <c r="O26" s="1334"/>
      <c r="P26" s="1334"/>
      <c r="Q26" s="1334"/>
      <c r="R26" s="1334"/>
      <c r="S26" s="1334"/>
      <c r="T26" s="1334"/>
      <c r="U26" s="1334"/>
      <c r="V26" s="1334"/>
      <c r="W26" s="1334"/>
      <c r="X26" s="1334"/>
      <c r="Y26" s="1334"/>
      <c r="Z26" s="1334"/>
    </row>
    <row r="27" spans="1:26">
      <c r="A27" s="1325"/>
      <c r="B27" s="1332"/>
      <c r="C27" s="1561"/>
      <c r="D27" s="1561"/>
      <c r="E27" s="1561"/>
      <c r="F27" s="1561"/>
      <c r="G27" s="1561"/>
      <c r="H27" s="1334"/>
      <c r="I27" s="1334"/>
      <c r="J27" s="1334"/>
      <c r="K27" s="1334"/>
      <c r="L27" s="1334"/>
      <c r="M27" s="1334"/>
      <c r="N27" s="1334"/>
      <c r="O27" s="1334"/>
      <c r="P27" s="1334"/>
      <c r="Q27" s="1334"/>
      <c r="R27" s="1334"/>
      <c r="S27" s="1334"/>
      <c r="T27" s="1334"/>
      <c r="U27" s="1334"/>
      <c r="V27" s="1334"/>
      <c r="W27" s="1334"/>
      <c r="X27" s="1334"/>
      <c r="Y27" s="1334"/>
      <c r="Z27" s="1334"/>
    </row>
    <row r="28" spans="1:26">
      <c r="A28" s="1325"/>
      <c r="B28" s="1332"/>
      <c r="C28" s="1561"/>
      <c r="D28" s="1561"/>
      <c r="E28" s="1561"/>
      <c r="F28" s="1561"/>
      <c r="G28" s="1561"/>
      <c r="H28" s="1334"/>
      <c r="I28" s="1334"/>
      <c r="J28" s="1334"/>
      <c r="K28" s="1334"/>
      <c r="L28" s="1334"/>
      <c r="M28" s="1334"/>
      <c r="N28" s="1334"/>
      <c r="O28" s="1334"/>
      <c r="P28" s="1334"/>
      <c r="Q28" s="1334"/>
      <c r="R28" s="1334"/>
      <c r="S28" s="1334"/>
      <c r="T28" s="1334"/>
      <c r="U28" s="1334"/>
      <c r="V28" s="1334"/>
      <c r="W28" s="1334"/>
      <c r="X28" s="1334"/>
      <c r="Y28" s="1334"/>
      <c r="Z28" s="1334"/>
    </row>
    <row r="29" spans="1:26">
      <c r="A29" s="1329" t="s">
        <v>1315</v>
      </c>
      <c r="B29" s="1339"/>
      <c r="C29" s="1339"/>
      <c r="D29" s="1339"/>
      <c r="E29" s="1339"/>
      <c r="F29" s="1339"/>
      <c r="G29" s="1339"/>
    </row>
    <row r="30" spans="1:26">
      <c r="A30" s="1337" t="s">
        <v>1316</v>
      </c>
      <c r="B30" s="1559"/>
      <c r="C30" s="1559">
        <f>$B$49/5</f>
        <v>-32000</v>
      </c>
      <c r="D30" s="1559">
        <f>$B$49/5</f>
        <v>-32000</v>
      </c>
      <c r="E30" s="1559">
        <f>$B$49/5</f>
        <v>-32000</v>
      </c>
      <c r="F30" s="1559">
        <f>$B$49/5</f>
        <v>-32000</v>
      </c>
      <c r="G30" s="1559">
        <f>$B$49/5</f>
        <v>-32000</v>
      </c>
    </row>
    <row r="31" spans="1:26">
      <c r="A31" s="1337" t="s">
        <v>1317</v>
      </c>
      <c r="B31" s="1559"/>
      <c r="C31" s="1559">
        <f>$B$50/5</f>
        <v>-880000</v>
      </c>
      <c r="D31" s="1559">
        <f>$B$50/5</f>
        <v>-880000</v>
      </c>
      <c r="E31" s="1559">
        <f>$B$50/5</f>
        <v>-880000</v>
      </c>
      <c r="F31" s="1559">
        <f>$B$50/5</f>
        <v>-880000</v>
      </c>
      <c r="G31" s="1559">
        <f>$B$50/5</f>
        <v>-880000</v>
      </c>
      <c r="H31" s="1334"/>
      <c r="I31" s="1334"/>
      <c r="J31" s="1334"/>
      <c r="K31" s="1334"/>
      <c r="L31" s="1334"/>
      <c r="M31" s="1334"/>
      <c r="N31" s="1334"/>
      <c r="O31" s="1334"/>
      <c r="P31" s="1334"/>
      <c r="Q31" s="1334"/>
      <c r="R31" s="1334"/>
      <c r="S31" s="1334"/>
      <c r="T31" s="1334"/>
      <c r="U31" s="1334"/>
      <c r="V31" s="1334"/>
      <c r="W31" s="1334"/>
      <c r="X31" s="1334"/>
      <c r="Y31" s="1334"/>
      <c r="Z31" s="1334"/>
    </row>
    <row r="32" spans="1:26">
      <c r="A32" s="1334" t="s">
        <v>1318</v>
      </c>
      <c r="B32" s="1559"/>
      <c r="C32" s="1559">
        <f>$B$51/5</f>
        <v>-120000</v>
      </c>
      <c r="D32" s="1559">
        <f>$B$51/5</f>
        <v>-120000</v>
      </c>
      <c r="E32" s="1559">
        <f>$B$51/5</f>
        <v>-120000</v>
      </c>
      <c r="F32" s="1559">
        <f>$B$51/5</f>
        <v>-120000</v>
      </c>
      <c r="G32" s="1559">
        <f>$B$51/5</f>
        <v>-120000</v>
      </c>
      <c r="H32" s="1334"/>
      <c r="I32" s="1334"/>
      <c r="J32" s="1334"/>
      <c r="K32" s="1334"/>
      <c r="L32" s="1334"/>
      <c r="M32" s="1334"/>
      <c r="N32" s="1334"/>
      <c r="O32" s="1334"/>
      <c r="P32" s="1334"/>
      <c r="Q32" s="1334"/>
      <c r="R32" s="1334"/>
      <c r="S32" s="1334"/>
      <c r="T32" s="1334"/>
      <c r="U32" s="1334"/>
      <c r="V32" s="1334"/>
      <c r="W32" s="1334"/>
      <c r="X32" s="1334"/>
      <c r="Y32" s="1334"/>
      <c r="Z32" s="1334"/>
    </row>
    <row r="33" spans="1:26">
      <c r="A33" s="1334" t="s">
        <v>1319</v>
      </c>
      <c r="B33" s="1559"/>
      <c r="C33" s="1559">
        <f>$B$52/5</f>
        <v>-360000</v>
      </c>
      <c r="D33" s="1559">
        <f>$B$52/5</f>
        <v>-360000</v>
      </c>
      <c r="E33" s="1559">
        <f>$B$52/5</f>
        <v>-360000</v>
      </c>
      <c r="F33" s="1559">
        <f>$B$52/5</f>
        <v>-360000</v>
      </c>
      <c r="G33" s="1559">
        <f>$B$52/5</f>
        <v>-360000</v>
      </c>
      <c r="H33" s="1334"/>
      <c r="I33" s="1334"/>
      <c r="J33" s="1334"/>
      <c r="K33" s="1334"/>
      <c r="L33" s="1334"/>
      <c r="M33" s="1334"/>
      <c r="N33" s="1334"/>
      <c r="O33" s="1334"/>
      <c r="P33" s="1334"/>
      <c r="Q33" s="1334"/>
      <c r="R33" s="1334"/>
      <c r="S33" s="1334"/>
      <c r="T33" s="1334"/>
      <c r="U33" s="1334"/>
      <c r="V33" s="1334"/>
      <c r="W33" s="1334"/>
      <c r="X33" s="1334"/>
      <c r="Y33" s="1334"/>
      <c r="Z33" s="1334"/>
    </row>
    <row r="34" spans="1:26">
      <c r="A34" s="1334" t="s">
        <v>1320</v>
      </c>
      <c r="B34" s="1559"/>
      <c r="C34" s="1559"/>
      <c r="D34" s="1559"/>
      <c r="E34" s="1559"/>
      <c r="F34" s="1559">
        <f>$E$53/5</f>
        <v>-200000</v>
      </c>
      <c r="G34" s="1559">
        <f>$E$53/5</f>
        <v>-200000</v>
      </c>
      <c r="H34" s="1334"/>
      <c r="I34" s="1334"/>
      <c r="J34" s="1334"/>
      <c r="K34" s="1334"/>
      <c r="L34" s="1334"/>
      <c r="M34" s="1334"/>
      <c r="N34" s="1334"/>
      <c r="O34" s="1334"/>
      <c r="P34" s="1334"/>
      <c r="Q34" s="1334"/>
      <c r="R34" s="1334"/>
      <c r="S34" s="1334"/>
      <c r="T34" s="1334"/>
      <c r="U34" s="1334"/>
      <c r="V34" s="1334"/>
      <c r="W34" s="1334"/>
      <c r="X34" s="1334"/>
      <c r="Y34" s="1334"/>
      <c r="Z34" s="1334"/>
    </row>
    <row r="35" spans="1:26">
      <c r="A35" s="1334" t="s">
        <v>1321</v>
      </c>
      <c r="B35" s="1559"/>
      <c r="C35" s="1559"/>
      <c r="D35" s="1559"/>
      <c r="E35" s="1559"/>
      <c r="F35" s="1559">
        <f>$E$54/5</f>
        <v>-24000</v>
      </c>
      <c r="G35" s="1559">
        <f>$E$54/5</f>
        <v>-24000</v>
      </c>
      <c r="H35" s="1334"/>
      <c r="I35" s="1334"/>
      <c r="J35" s="1334"/>
      <c r="K35" s="1334"/>
      <c r="L35" s="1334"/>
      <c r="M35" s="1334"/>
      <c r="N35" s="1334"/>
      <c r="O35" s="1334"/>
      <c r="P35" s="1334"/>
      <c r="Q35" s="1334"/>
      <c r="R35" s="1334"/>
      <c r="S35" s="1334"/>
      <c r="T35" s="1334"/>
      <c r="U35" s="1334"/>
      <c r="V35" s="1334"/>
      <c r="W35" s="1334"/>
      <c r="X35" s="1334"/>
      <c r="Y35" s="1334"/>
      <c r="Z35" s="1334"/>
    </row>
    <row r="36" spans="1:26">
      <c r="A36" s="1334" t="s">
        <v>1322</v>
      </c>
      <c r="B36" s="1559"/>
      <c r="C36" s="1559"/>
      <c r="D36" s="1559"/>
      <c r="E36" s="1559"/>
      <c r="F36" s="1559"/>
      <c r="G36" s="1559">
        <f>F34*3</f>
        <v>-600000</v>
      </c>
      <c r="H36" s="1334"/>
      <c r="I36" s="1334"/>
      <c r="J36" s="1334"/>
      <c r="K36" s="1334"/>
      <c r="L36" s="1334"/>
      <c r="M36" s="1334"/>
      <c r="N36" s="1334"/>
      <c r="O36" s="1334"/>
      <c r="P36" s="1334"/>
      <c r="Q36" s="1334"/>
      <c r="R36" s="1334"/>
      <c r="S36" s="1334"/>
      <c r="T36" s="1334"/>
      <c r="U36" s="1334"/>
      <c r="V36" s="1334"/>
      <c r="W36" s="1334"/>
      <c r="X36" s="1334"/>
      <c r="Y36" s="1334"/>
      <c r="Z36" s="1334"/>
    </row>
    <row r="37" spans="1:26" ht="15.75" thickBot="1">
      <c r="A37" s="1334" t="s">
        <v>1323</v>
      </c>
      <c r="B37" s="1559"/>
      <c r="C37" s="1559"/>
      <c r="D37" s="1559"/>
      <c r="E37" s="1559"/>
      <c r="F37" s="1559"/>
      <c r="G37" s="1559">
        <f>F35*3</f>
        <v>-72000</v>
      </c>
      <c r="H37" s="1334"/>
      <c r="I37" s="1334"/>
      <c r="J37" s="1334"/>
      <c r="K37" s="1334"/>
      <c r="L37" s="1334"/>
      <c r="M37" s="1334"/>
      <c r="N37" s="1334"/>
      <c r="O37" s="1334"/>
      <c r="P37" s="1334"/>
      <c r="Q37" s="1334"/>
      <c r="R37" s="1334"/>
      <c r="S37" s="1334"/>
      <c r="T37" s="1334"/>
      <c r="U37" s="1334"/>
      <c r="V37" s="1334"/>
      <c r="W37" s="1334"/>
      <c r="X37" s="1334"/>
      <c r="Y37" s="1334"/>
      <c r="Z37" s="1334"/>
    </row>
    <row r="38" spans="1:26" ht="18.75" customHeight="1" thickTop="1" thickBot="1">
      <c r="A38" s="1340" t="s">
        <v>1324</v>
      </c>
      <c r="B38" s="1341"/>
      <c r="C38" s="1342">
        <f>SUM(C6:C37)</f>
        <v>4291024.8499999996</v>
      </c>
      <c r="D38" s="1342">
        <f>SUM(D6:D37)</f>
        <v>5532519</v>
      </c>
      <c r="E38" s="1342">
        <f>SUM(E6:E37)</f>
        <v>6896513</v>
      </c>
      <c r="F38" s="1342">
        <f>SUM(F6:F37)</f>
        <v>9364907.0000000019</v>
      </c>
      <c r="G38" s="1343">
        <f>SUM(G6:G37)</f>
        <v>13242670.000000004</v>
      </c>
      <c r="H38" s="1344"/>
      <c r="I38" s="1344"/>
      <c r="J38" s="1344"/>
      <c r="K38" s="1344"/>
      <c r="L38" s="1344"/>
      <c r="M38" s="1344"/>
      <c r="N38" s="1344"/>
      <c r="O38" s="1344"/>
      <c r="P38" s="1344"/>
      <c r="Q38" s="1344"/>
      <c r="R38" s="1344"/>
      <c r="S38" s="1344"/>
      <c r="T38" s="1344"/>
      <c r="U38" s="1344"/>
      <c r="V38" s="1344"/>
      <c r="W38" s="1344"/>
      <c r="X38" s="1344"/>
      <c r="Y38" s="1344"/>
      <c r="Z38" s="1344"/>
    </row>
    <row r="39" spans="1:26" ht="8.25" customHeight="1" thickTop="1">
      <c r="A39" s="1334"/>
      <c r="B39" s="1332"/>
      <c r="C39" s="1332"/>
      <c r="D39" s="1332"/>
      <c r="E39" s="1332"/>
      <c r="F39" s="1332"/>
      <c r="G39" s="1332"/>
      <c r="H39" s="1334"/>
      <c r="I39" s="1334"/>
      <c r="J39" s="1334"/>
      <c r="K39" s="1334"/>
      <c r="L39" s="1334"/>
      <c r="M39" s="1334"/>
      <c r="N39" s="1334"/>
      <c r="O39" s="1334"/>
      <c r="P39" s="1334"/>
      <c r="Q39" s="1334"/>
      <c r="R39" s="1334"/>
      <c r="S39" s="1334"/>
      <c r="T39" s="1334"/>
      <c r="U39" s="1334"/>
      <c r="V39" s="1334"/>
      <c r="W39" s="1334"/>
      <c r="X39" s="1334"/>
      <c r="Y39" s="1334"/>
      <c r="Z39" s="1334"/>
    </row>
    <row r="40" spans="1:26">
      <c r="A40" s="1345" t="s">
        <v>1325</v>
      </c>
      <c r="B40" s="1346">
        <v>0.2</v>
      </c>
      <c r="C40" s="1332">
        <f>C38*B40</f>
        <v>858204.97</v>
      </c>
      <c r="D40" s="1332">
        <f>D38*B40</f>
        <v>1106503.8</v>
      </c>
      <c r="E40" s="1332">
        <f>E38*B40</f>
        <v>1379302.6</v>
      </c>
      <c r="F40" s="1332">
        <f>F38*B40</f>
        <v>1872981.4000000004</v>
      </c>
      <c r="G40" s="1332">
        <f>G38*B40</f>
        <v>2648534.0000000009</v>
      </c>
      <c r="I40" s="1325"/>
      <c r="J40" s="1347"/>
    </row>
    <row r="41" spans="1:26" ht="8.25" customHeight="1" thickBot="1">
      <c r="A41" s="1337"/>
      <c r="B41" s="1332"/>
      <c r="C41" s="1348"/>
      <c r="D41" s="1348"/>
      <c r="E41" s="1348"/>
      <c r="F41" s="1348"/>
      <c r="G41" s="1348"/>
      <c r="J41" s="1347"/>
    </row>
    <row r="42" spans="1:26" ht="17.25" thickTop="1" thickBot="1">
      <c r="A42" s="1340" t="s">
        <v>1326</v>
      </c>
      <c r="B42" s="1349"/>
      <c r="C42" s="1350">
        <f>C38+(-C40)</f>
        <v>3432819.88</v>
      </c>
      <c r="D42" s="1350">
        <f>D38+(-D40)</f>
        <v>4426015.2</v>
      </c>
      <c r="E42" s="1350">
        <f>E38+(-E40)</f>
        <v>5517210.4000000004</v>
      </c>
      <c r="F42" s="1350">
        <f>F38+(-F40)</f>
        <v>7491925.6000000015</v>
      </c>
      <c r="G42" s="1351">
        <f>G38+(-G40)</f>
        <v>10594136.000000004</v>
      </c>
      <c r="H42" s="1352"/>
      <c r="I42" s="1352"/>
      <c r="J42" s="1352"/>
      <c r="K42" s="1352"/>
      <c r="L42" s="1352"/>
      <c r="M42" s="1352"/>
      <c r="N42" s="1352"/>
      <c r="O42" s="1352"/>
      <c r="P42" s="1352"/>
      <c r="Q42" s="1352"/>
      <c r="R42" s="1352"/>
      <c r="S42" s="1352"/>
      <c r="T42" s="1352"/>
      <c r="U42" s="1352"/>
      <c r="V42" s="1352"/>
      <c r="W42" s="1352"/>
      <c r="X42" s="1352"/>
      <c r="Y42" s="1352"/>
      <c r="Z42" s="1352"/>
    </row>
    <row r="43" spans="1:26" ht="15.75" customHeight="1" thickTop="1">
      <c r="A43" s="1334"/>
      <c r="B43" s="1332"/>
      <c r="C43" s="1332"/>
      <c r="D43" s="1332"/>
      <c r="E43" s="1332"/>
      <c r="F43" s="1332"/>
      <c r="G43" s="1332"/>
    </row>
    <row r="44" spans="1:26" ht="15.75" customHeight="1">
      <c r="A44" s="1353" t="s">
        <v>1327</v>
      </c>
      <c r="B44" s="1354"/>
      <c r="C44" s="1354"/>
      <c r="D44" s="1354"/>
      <c r="E44" s="1354"/>
      <c r="F44" s="1354"/>
      <c r="G44" s="1354"/>
    </row>
    <row r="45" spans="1:26" ht="15.75" customHeight="1">
      <c r="A45" s="1334" t="s">
        <v>135</v>
      </c>
      <c r="B45" s="1332">
        <v>43288</v>
      </c>
      <c r="C45" s="1332"/>
      <c r="D45" s="1332"/>
      <c r="E45" s="1332"/>
      <c r="F45" s="1332"/>
      <c r="G45" s="1332"/>
    </row>
    <row r="46" spans="1:26" ht="15.75" customHeight="1">
      <c r="A46" s="1334" t="s">
        <v>1328</v>
      </c>
      <c r="B46" s="1332"/>
      <c r="C46" s="1332"/>
      <c r="D46" s="1332"/>
      <c r="E46" s="1332"/>
      <c r="F46" s="1332"/>
      <c r="G46" s="1332">
        <f>(B55+C55+D55+E55)*-1</f>
        <v>256266.66666666666</v>
      </c>
    </row>
    <row r="47" spans="1:26" ht="15.75" customHeight="1">
      <c r="A47" s="1334"/>
      <c r="B47" s="1332"/>
      <c r="C47" s="1332"/>
      <c r="D47" s="1332"/>
      <c r="E47" s="1332"/>
      <c r="F47" s="1332"/>
      <c r="G47" s="1332"/>
    </row>
    <row r="48" spans="1:26" ht="15.75" customHeight="1">
      <c r="A48" s="1355" t="s">
        <v>1329</v>
      </c>
      <c r="B48" s="1354"/>
      <c r="C48" s="1354"/>
      <c r="D48" s="1354"/>
      <c r="E48" s="1354"/>
      <c r="F48" s="1354"/>
      <c r="G48" s="1354"/>
    </row>
    <row r="49" spans="1:26" ht="15.75" customHeight="1">
      <c r="A49" s="1325" t="s">
        <v>1330</v>
      </c>
      <c r="B49" s="1333">
        <v>-160000</v>
      </c>
      <c r="C49" s="1333"/>
      <c r="D49" s="1333"/>
      <c r="E49" s="1333"/>
      <c r="F49" s="1333"/>
      <c r="G49" s="1333"/>
    </row>
    <row r="50" spans="1:26" ht="15.75" customHeight="1">
      <c r="A50" s="1325" t="s">
        <v>1331</v>
      </c>
      <c r="B50" s="1333">
        <f>-2200000*2</f>
        <v>-4400000</v>
      </c>
      <c r="C50" s="1333"/>
      <c r="D50" s="1333"/>
      <c r="E50" s="1333"/>
      <c r="F50" s="1333"/>
      <c r="G50" s="1333"/>
    </row>
    <row r="51" spans="1:26" ht="15.75" customHeight="1">
      <c r="A51" s="1331" t="s">
        <v>1332</v>
      </c>
      <c r="B51" s="1333">
        <f>-60000*10</f>
        <v>-600000</v>
      </c>
      <c r="C51" s="1333"/>
      <c r="D51" s="1333"/>
      <c r="E51" s="1333"/>
      <c r="F51" s="1333"/>
      <c r="G51" s="1333"/>
    </row>
    <row r="52" spans="1:26" ht="15.75" customHeight="1">
      <c r="A52" s="1334" t="s">
        <v>1333</v>
      </c>
      <c r="B52" s="1333">
        <v>-1800000</v>
      </c>
      <c r="C52" s="1333"/>
      <c r="D52" s="1333"/>
      <c r="E52" s="1333"/>
      <c r="F52" s="1333"/>
      <c r="G52" s="1333"/>
    </row>
    <row r="53" spans="1:26" ht="15.75" customHeight="1">
      <c r="A53" s="1334" t="s">
        <v>1334</v>
      </c>
      <c r="B53" s="1333"/>
      <c r="C53" s="1333"/>
      <c r="D53" s="1333"/>
      <c r="E53" s="1356">
        <v>-1000000</v>
      </c>
      <c r="F53" s="1333"/>
      <c r="G53" s="1333"/>
    </row>
    <row r="54" spans="1:26" ht="14.25" customHeight="1">
      <c r="A54" s="1334" t="s">
        <v>1335</v>
      </c>
      <c r="B54" s="1333"/>
      <c r="C54" s="1333"/>
      <c r="D54" s="1558"/>
      <c r="E54" s="1558">
        <f>-60000*2</f>
        <v>-120000</v>
      </c>
      <c r="F54" s="1333"/>
      <c r="G54" s="1333"/>
    </row>
    <row r="55" spans="1:26" ht="14.25" customHeight="1">
      <c r="A55" s="1334" t="s">
        <v>236</v>
      </c>
      <c r="B55" s="1333">
        <f>CT!J68</f>
        <v>-160166.66666666669</v>
      </c>
      <c r="C55" s="1333">
        <f>CT!J69</f>
        <v>-22880.952380952374</v>
      </c>
      <c r="D55" s="1333">
        <f>CT!J70</f>
        <v>-22880.952380952382</v>
      </c>
      <c r="E55" s="1333">
        <f>CT!J71</f>
        <v>-50338.095238095237</v>
      </c>
      <c r="F55" s="1333"/>
      <c r="G55" s="1333"/>
      <c r="H55" s="1325" t="s">
        <v>595</v>
      </c>
    </row>
    <row r="56" spans="1:26" ht="14.25" customHeight="1">
      <c r="A56" s="1334" t="s">
        <v>1336</v>
      </c>
      <c r="B56" s="1333">
        <v>-100000</v>
      </c>
      <c r="C56" s="1333"/>
      <c r="D56" s="1333"/>
      <c r="E56" s="1333"/>
      <c r="F56" s="1333"/>
      <c r="G56" s="1333"/>
      <c r="H56" s="1325" t="s">
        <v>1337</v>
      </c>
    </row>
    <row r="57" spans="1:26" ht="14.25" customHeight="1">
      <c r="A57" s="1334" t="s">
        <v>1338</v>
      </c>
      <c r="B57" s="1333"/>
      <c r="C57" s="1333"/>
      <c r="D57" s="1333"/>
      <c r="E57" s="1333"/>
      <c r="F57" s="1333"/>
      <c r="G57" s="1333"/>
      <c r="H57" s="1323" t="s">
        <v>1484</v>
      </c>
    </row>
    <row r="58" spans="1:26" ht="14.25" customHeight="1">
      <c r="A58" s="1334" t="s">
        <v>1339</v>
      </c>
      <c r="B58" s="1333"/>
      <c r="C58" s="1333">
        <v>-10822</v>
      </c>
      <c r="D58" s="1333">
        <v>-10822</v>
      </c>
      <c r="E58" s="1333">
        <v>-10822</v>
      </c>
      <c r="F58" s="1333">
        <v>-10822</v>
      </c>
      <c r="G58" s="1333"/>
      <c r="H58" s="1566" t="s">
        <v>1486</v>
      </c>
      <c r="I58" s="1566"/>
      <c r="J58" s="1566"/>
      <c r="K58" s="1566"/>
    </row>
    <row r="59" spans="1:26" ht="15.75" customHeight="1">
      <c r="A59" s="1353" t="s">
        <v>1340</v>
      </c>
      <c r="B59" s="1354"/>
      <c r="C59" s="1354"/>
      <c r="D59" s="1354"/>
      <c r="E59" s="1354"/>
      <c r="F59" s="1354"/>
      <c r="G59" s="1354"/>
    </row>
    <row r="60" spans="1:26" ht="15.75" customHeight="1">
      <c r="A60" s="1337" t="s">
        <v>1341</v>
      </c>
      <c r="B60" s="1332">
        <f t="shared" ref="B60:G60" si="0">-SUM(B30:B37)</f>
        <v>0</v>
      </c>
      <c r="C60" s="1332">
        <f t="shared" si="0"/>
        <v>1392000</v>
      </c>
      <c r="D60" s="1332">
        <f t="shared" si="0"/>
        <v>1392000</v>
      </c>
      <c r="E60" s="1332">
        <f t="shared" si="0"/>
        <v>1392000</v>
      </c>
      <c r="F60" s="1332">
        <f t="shared" si="0"/>
        <v>1616000</v>
      </c>
      <c r="G60" s="1332">
        <f t="shared" si="0"/>
        <v>2288000</v>
      </c>
    </row>
    <row r="61" spans="1:26" ht="15.75" customHeight="1" thickBot="1">
      <c r="A61" s="1337"/>
      <c r="B61" s="1332"/>
      <c r="C61" s="1332"/>
      <c r="D61" s="1332"/>
      <c r="E61" s="1332"/>
      <c r="F61" s="1332"/>
      <c r="G61" s="1332"/>
      <c r="I61" s="1334"/>
    </row>
    <row r="62" spans="1:26" ht="27" customHeight="1" thickTop="1" thickBot="1">
      <c r="A62" s="1358" t="s">
        <v>1342</v>
      </c>
      <c r="B62" s="1359">
        <f t="shared" ref="B62:G62" si="1">SUM(B42:B61)</f>
        <v>-7176878.666666667</v>
      </c>
      <c r="C62" s="1359">
        <f t="shared" si="1"/>
        <v>4791116.9276190475</v>
      </c>
      <c r="D62" s="1359">
        <f t="shared" si="1"/>
        <v>5784312.2476190478</v>
      </c>
      <c r="E62" s="1359">
        <f t="shared" si="1"/>
        <v>5728050.3047619052</v>
      </c>
      <c r="F62" s="1359">
        <f t="shared" si="1"/>
        <v>9097103.6000000015</v>
      </c>
      <c r="G62" s="1360">
        <f t="shared" si="1"/>
        <v>13138402.66666667</v>
      </c>
      <c r="H62" s="1361"/>
      <c r="I62" s="1361"/>
      <c r="J62" s="1361"/>
      <c r="K62" s="1361"/>
      <c r="L62" s="1361"/>
      <c r="M62" s="1361"/>
      <c r="N62" s="1361"/>
      <c r="O62" s="1361"/>
      <c r="P62" s="1361"/>
      <c r="Q62" s="1361"/>
      <c r="R62" s="1361"/>
      <c r="S62" s="1361"/>
      <c r="T62" s="1361"/>
      <c r="U62" s="1361"/>
      <c r="V62" s="1361"/>
      <c r="W62" s="1361"/>
      <c r="X62" s="1361"/>
      <c r="Y62" s="1361"/>
      <c r="Z62" s="1361"/>
    </row>
    <row r="63" spans="1:26" ht="15.75" customHeight="1" thickTop="1">
      <c r="A63" s="1362"/>
      <c r="B63" s="1363" t="s">
        <v>1343</v>
      </c>
      <c r="C63" s="1338">
        <f>C62/((1+B65)^1)</f>
        <v>4395520.1170816943</v>
      </c>
      <c r="D63" s="1338">
        <f>D62/((1+B65)^2)</f>
        <v>4868539.8936276799</v>
      </c>
      <c r="E63" s="1338">
        <f>E62/((1+B65)^3)</f>
        <v>4423105.8182958867</v>
      </c>
      <c r="F63" s="1338">
        <f>F62/((1+B65)^4)</f>
        <v>6444617.5379119599</v>
      </c>
      <c r="G63" s="1338">
        <f>G62/((1+B65)^5)</f>
        <v>8539060.2588925455</v>
      </c>
    </row>
    <row r="64" spans="1:26" ht="15.75" customHeight="1">
      <c r="A64" s="1364" t="s">
        <v>1344</v>
      </c>
      <c r="B64" s="1365">
        <f t="array" ref="B64">NPV(B65,C62:G62)+B62</f>
        <v>21493964.959143095</v>
      </c>
      <c r="C64" s="1338"/>
      <c r="D64" s="1338"/>
      <c r="E64" s="1338"/>
      <c r="F64" s="1338"/>
      <c r="G64" s="1338"/>
    </row>
    <row r="65" spans="1:6" ht="15.75" customHeight="1">
      <c r="A65" s="1366" t="s">
        <v>1345</v>
      </c>
      <c r="B65" s="1367">
        <v>0.09</v>
      </c>
      <c r="C65" s="1325" t="s">
        <v>1346</v>
      </c>
    </row>
    <row r="66" spans="1:6" ht="15.75" customHeight="1">
      <c r="A66" s="1366" t="s">
        <v>982</v>
      </c>
      <c r="B66" s="1367">
        <f>IRR(B62:G62)</f>
        <v>0.77973378069309796</v>
      </c>
    </row>
    <row r="67" spans="1:6" ht="15.75" customHeight="1">
      <c r="A67" s="1368" t="s">
        <v>1347</v>
      </c>
      <c r="B67" s="1369">
        <f>ABS(SUM(C63:G63)/B62)</f>
        <v>3.9948903914138576</v>
      </c>
      <c r="C67" s="1325"/>
    </row>
    <row r="68" spans="1:6" ht="15.75" customHeight="1">
      <c r="A68" s="1368" t="s">
        <v>1348</v>
      </c>
      <c r="B68" s="1370">
        <f>(C62+D62+E62+F62+G62+B62)/(B62*-1)</f>
        <v>4.3698811888325082</v>
      </c>
      <c r="D68" s="1371"/>
    </row>
    <row r="69" spans="1:6" ht="15.75" customHeight="1">
      <c r="B69" s="1372"/>
    </row>
    <row r="70" spans="1:6" ht="15.75" customHeight="1"/>
    <row r="71" spans="1:6" ht="15.75" customHeight="1">
      <c r="A71" s="1373"/>
      <c r="B71" s="1374"/>
      <c r="C71" s="1373"/>
      <c r="D71" s="1374"/>
      <c r="E71" s="1373"/>
      <c r="F71" s="1374"/>
    </row>
    <row r="72" spans="1:6" ht="15.75" customHeight="1">
      <c r="A72" s="1373"/>
      <c r="B72" s="1374"/>
      <c r="C72" s="1373"/>
      <c r="D72" s="1374"/>
      <c r="E72" s="1373"/>
      <c r="F72" s="1374"/>
    </row>
    <row r="73" spans="1:6" ht="15.75" customHeight="1">
      <c r="A73" s="1373"/>
      <c r="B73" s="1374"/>
      <c r="C73" s="1373"/>
      <c r="D73" s="1374"/>
      <c r="E73" s="1373"/>
      <c r="F73" s="1374"/>
    </row>
    <row r="74" spans="1:6" ht="15.75" customHeight="1">
      <c r="A74" s="1373"/>
      <c r="B74" s="1374"/>
      <c r="C74" s="1373"/>
      <c r="D74" s="1374"/>
      <c r="E74" s="1373"/>
      <c r="F74" s="1374"/>
    </row>
    <row r="75" spans="1:6" ht="15.75" customHeight="1">
      <c r="A75" s="1373"/>
      <c r="B75" s="1374"/>
      <c r="C75" s="1373"/>
      <c r="D75" s="1374"/>
      <c r="E75" s="1373"/>
      <c r="F75" s="1374"/>
    </row>
    <row r="76" spans="1:6" ht="15.75" customHeight="1">
      <c r="C76" s="1373"/>
      <c r="D76" s="1374"/>
    </row>
    <row r="77" spans="1:6" ht="15.75" customHeight="1"/>
    <row r="78" spans="1:6" ht="15.75" customHeight="1"/>
    <row r="79" spans="1:6" ht="15.75" customHeight="1">
      <c r="B79" s="1332"/>
    </row>
    <row r="80" spans="1:6" ht="15.75" customHeight="1">
      <c r="B80" s="1375" t="s">
        <v>1303</v>
      </c>
      <c r="C80" s="1376">
        <v>605000</v>
      </c>
      <c r="D80" s="1377"/>
      <c r="E80" s="1377"/>
    </row>
    <row r="81" spans="2:3" ht="15.75" customHeight="1">
      <c r="B81" s="1378" t="s">
        <v>1349</v>
      </c>
      <c r="C81" s="1379">
        <f>C80/1.21</f>
        <v>500000</v>
      </c>
    </row>
    <row r="82" spans="2:3" ht="15.75" customHeight="1">
      <c r="B82" s="1325" t="s">
        <v>1350</v>
      </c>
    </row>
    <row r="83" spans="2:3" ht="15.75" customHeight="1"/>
    <row r="84" spans="2:3" ht="15.75" customHeight="1"/>
    <row r="85" spans="2:3" ht="15.75" customHeight="1"/>
    <row r="86" spans="2:3" ht="15.75" customHeight="1"/>
    <row r="87" spans="2:3" ht="15.75" customHeight="1"/>
    <row r="88" spans="2:3" ht="15.75" customHeight="1"/>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pageMargins left="0.7" right="0.7" top="0.75" bottom="0.75" header="0" footer="0"/>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278C-2E4A-4084-8D82-F6BBE708A5F6}">
  <dimension ref="A1:T1013"/>
  <sheetViews>
    <sheetView topLeftCell="D1" zoomScale="90" zoomScaleNormal="90" workbookViewId="0">
      <selection activeCell="F15" sqref="F15"/>
    </sheetView>
  </sheetViews>
  <sheetFormatPr defaultColWidth="14.42578125" defaultRowHeight="15" customHeight="1"/>
  <cols>
    <col min="1" max="9" width="12.140625" style="1323" customWidth="1"/>
    <col min="10" max="10" width="15.140625" style="1323" customWidth="1"/>
    <col min="11" max="11" width="19.42578125" style="1323" customWidth="1"/>
    <col min="12" max="12" width="17.85546875" style="1323" customWidth="1"/>
    <col min="13" max="13" width="17" style="1323" customWidth="1"/>
    <col min="14" max="14" width="16.5703125" style="1323" customWidth="1"/>
    <col min="15" max="16" width="12.140625" style="1323" customWidth="1"/>
    <col min="17" max="17" width="8.85546875" style="1323" customWidth="1"/>
    <col min="18" max="18" width="12.140625" style="1323" customWidth="1"/>
    <col min="19" max="19" width="27.7109375" style="1323" customWidth="1"/>
    <col min="20" max="26" width="12.140625" style="1323" customWidth="1"/>
    <col min="27" max="16384" width="14.42578125" style="1323"/>
  </cols>
  <sheetData>
    <row r="1" spans="1:20" ht="14.25" customHeight="1"/>
    <row r="2" spans="1:20" ht="14.25" customHeight="1" thickBot="1"/>
    <row r="3" spans="1:20" ht="14.25" customHeight="1" thickBot="1">
      <c r="I3" s="1380" t="s">
        <v>103</v>
      </c>
      <c r="J3" s="1381" t="s">
        <v>606</v>
      </c>
      <c r="K3" s="1381"/>
      <c r="L3" s="1879" t="s">
        <v>607</v>
      </c>
      <c r="M3" s="1880"/>
      <c r="N3" s="1382">
        <v>0.12</v>
      </c>
    </row>
    <row r="4" spans="1:20" ht="14.25" customHeight="1" thickBot="1">
      <c r="A4" s="1383" t="s">
        <v>687</v>
      </c>
      <c r="B4" s="1384"/>
      <c r="C4" s="1384"/>
      <c r="D4" s="1384"/>
      <c r="E4" s="1384"/>
      <c r="F4" s="1384"/>
      <c r="I4" s="1381"/>
      <c r="J4" s="1381"/>
      <c r="K4" s="1381"/>
      <c r="L4" s="1877" t="s">
        <v>608</v>
      </c>
      <c r="M4" s="1878"/>
      <c r="N4" s="1385">
        <v>30</v>
      </c>
    </row>
    <row r="5" spans="1:20" ht="14.25" customHeight="1" thickBot="1">
      <c r="A5" s="1384" t="s">
        <v>688</v>
      </c>
      <c r="B5" s="1384"/>
      <c r="C5" s="1384"/>
      <c r="D5" s="1384"/>
      <c r="E5" s="1384"/>
      <c r="F5" s="1384"/>
      <c r="I5" s="1386" t="s">
        <v>609</v>
      </c>
      <c r="J5" s="1387">
        <v>43288</v>
      </c>
      <c r="K5" s="1381"/>
      <c r="L5" s="1877" t="s">
        <v>610</v>
      </c>
      <c r="M5" s="1878"/>
      <c r="N5" s="1385">
        <v>360</v>
      </c>
      <c r="O5" s="1323" t="s">
        <v>611</v>
      </c>
    </row>
    <row r="6" spans="1:20" ht="14.25" customHeight="1" thickBot="1">
      <c r="A6" s="1384" t="s">
        <v>689</v>
      </c>
      <c r="B6" s="1384"/>
      <c r="C6" s="1384" t="s">
        <v>690</v>
      </c>
      <c r="D6" s="1384"/>
      <c r="E6" s="1384"/>
      <c r="F6" s="1384"/>
      <c r="I6" s="1388" t="s">
        <v>102</v>
      </c>
      <c r="J6" s="1389">
        <f>N7</f>
        <v>0.12682503013196977</v>
      </c>
      <c r="K6" s="1381"/>
      <c r="L6" s="1877" t="s">
        <v>612</v>
      </c>
      <c r="M6" s="1878"/>
      <c r="N6" s="1385">
        <v>360</v>
      </c>
      <c r="R6" s="1881" t="s">
        <v>613</v>
      </c>
      <c r="S6" s="1882"/>
      <c r="T6" s="1883"/>
    </row>
    <row r="7" spans="1:20" ht="14.25" customHeight="1" thickBot="1">
      <c r="A7" s="1384"/>
      <c r="B7" s="1384"/>
      <c r="C7" s="1384" t="s">
        <v>691</v>
      </c>
      <c r="D7" s="1384"/>
      <c r="E7" s="1384"/>
      <c r="F7" s="1384"/>
      <c r="I7" s="1390" t="s">
        <v>614</v>
      </c>
      <c r="J7" s="1391">
        <v>3</v>
      </c>
      <c r="K7" s="1381" t="s">
        <v>615</v>
      </c>
      <c r="L7" s="1875" t="s">
        <v>616</v>
      </c>
      <c r="M7" s="1876"/>
      <c r="N7" s="1392">
        <f>((1+N3*N4/N6)^(N5/N4))-1</f>
        <v>0.12682503013196977</v>
      </c>
      <c r="R7" s="1884" t="s">
        <v>484</v>
      </c>
      <c r="S7" s="1885"/>
      <c r="T7" s="1393">
        <v>7.0000000000000007E-2</v>
      </c>
    </row>
    <row r="8" spans="1:20" ht="14.25" customHeight="1" thickBot="1">
      <c r="A8" s="1384"/>
      <c r="B8" s="1384"/>
      <c r="C8" s="1384" t="s">
        <v>692</v>
      </c>
      <c r="D8" s="1384"/>
      <c r="E8" s="1384"/>
      <c r="F8" s="1384"/>
      <c r="I8" s="1381"/>
      <c r="J8" s="1381"/>
      <c r="K8" s="1381"/>
      <c r="L8" s="1381"/>
      <c r="M8" s="1381"/>
      <c r="N8" s="1381"/>
      <c r="R8" s="1884" t="s">
        <v>617</v>
      </c>
      <c r="S8" s="1885"/>
      <c r="T8" s="1394">
        <v>60</v>
      </c>
    </row>
    <row r="9" spans="1:20" ht="14.25" customHeight="1">
      <c r="I9" s="1395" t="s">
        <v>427</v>
      </c>
      <c r="J9" s="1396" t="s">
        <v>428</v>
      </c>
      <c r="K9" s="1396" t="s">
        <v>102</v>
      </c>
      <c r="L9" s="1396" t="s">
        <v>107</v>
      </c>
      <c r="M9" s="1396" t="s">
        <v>109</v>
      </c>
      <c r="N9" s="1397" t="s">
        <v>429</v>
      </c>
      <c r="R9" s="1884" t="s">
        <v>618</v>
      </c>
      <c r="S9" s="1885"/>
      <c r="T9" s="1394">
        <v>360</v>
      </c>
    </row>
    <row r="10" spans="1:20" ht="14.25" customHeight="1" thickBot="1">
      <c r="I10" s="1398">
        <v>1</v>
      </c>
      <c r="J10" s="1399">
        <f>J5</f>
        <v>43288</v>
      </c>
      <c r="K10" s="1399">
        <f t="shared" ref="K10:K19" si="0">J10*$J$6</f>
        <v>5490.0019043527072</v>
      </c>
      <c r="L10" s="1399">
        <f t="shared" ref="L10:L19" si="1">M10-K10</f>
        <v>12744.660508078679</v>
      </c>
      <c r="M10" s="1399">
        <f>J5*J6/(1-(1+J6)^-J7)</f>
        <v>18234.662412431386</v>
      </c>
      <c r="N10" s="1400">
        <f t="shared" ref="N10:N19" si="2">J10-L10</f>
        <v>30543.339491921321</v>
      </c>
      <c r="R10" s="1886" t="s">
        <v>619</v>
      </c>
      <c r="S10" s="1887"/>
      <c r="T10" s="1401">
        <f>(1+T7)^(T9/T8)-1</f>
        <v>0.50073035184900005</v>
      </c>
    </row>
    <row r="11" spans="1:20" ht="14.25" customHeight="1">
      <c r="I11" s="1398">
        <v>2</v>
      </c>
      <c r="J11" s="1399">
        <f t="shared" ref="J11:J19" si="3">N10</f>
        <v>30543.339491921321</v>
      </c>
      <c r="K11" s="1399">
        <f t="shared" si="0"/>
        <v>3873.6599513939041</v>
      </c>
      <c r="L11" s="1399">
        <f t="shared" si="1"/>
        <v>14361.002461037482</v>
      </c>
      <c r="M11" s="1399">
        <f t="shared" ref="M11:M19" si="4">+M10</f>
        <v>18234.662412431386</v>
      </c>
      <c r="N11" s="1400">
        <f t="shared" si="2"/>
        <v>16182.337030883838</v>
      </c>
    </row>
    <row r="12" spans="1:20" ht="14.25" customHeight="1">
      <c r="A12" s="1402" t="s">
        <v>386</v>
      </c>
      <c r="B12" s="1403"/>
      <c r="C12" s="1403"/>
      <c r="D12" s="1403"/>
      <c r="E12" s="1403"/>
      <c r="F12" s="1403"/>
      <c r="I12" s="1398">
        <v>3</v>
      </c>
      <c r="J12" s="1399">
        <f t="shared" si="3"/>
        <v>16182.337030883838</v>
      </c>
      <c r="K12" s="1399">
        <f t="shared" si="0"/>
        <v>2052.3253815475332</v>
      </c>
      <c r="L12" s="1399">
        <f t="shared" si="1"/>
        <v>16182.337030883853</v>
      </c>
      <c r="M12" s="1399">
        <f t="shared" si="4"/>
        <v>18234.662412431386</v>
      </c>
      <c r="N12" s="1400">
        <f t="shared" si="2"/>
        <v>-1.4551915228366852E-11</v>
      </c>
    </row>
    <row r="13" spans="1:20" ht="14.25" customHeight="1">
      <c r="A13" s="1403" t="s">
        <v>693</v>
      </c>
      <c r="B13" s="1403"/>
      <c r="C13" s="1403"/>
      <c r="D13" s="1403" t="s">
        <v>694</v>
      </c>
      <c r="E13" s="1403"/>
      <c r="F13" s="1403"/>
      <c r="I13" s="1398">
        <v>4</v>
      </c>
      <c r="J13" s="1399">
        <f t="shared" si="3"/>
        <v>-1.4551915228366852E-11</v>
      </c>
      <c r="K13" s="1399">
        <f t="shared" si="0"/>
        <v>-1.8455470873154958E-12</v>
      </c>
      <c r="L13" s="1399">
        <f t="shared" si="1"/>
        <v>18234.662412431389</v>
      </c>
      <c r="M13" s="1399">
        <f t="shared" si="4"/>
        <v>18234.662412431386</v>
      </c>
      <c r="N13" s="1400">
        <f t="shared" si="2"/>
        <v>-18234.662412431404</v>
      </c>
      <c r="O13" s="1404" t="s">
        <v>1351</v>
      </c>
    </row>
    <row r="14" spans="1:20" ht="14.25" customHeight="1">
      <c r="A14" s="1403" t="s">
        <v>695</v>
      </c>
      <c r="B14" s="1403"/>
      <c r="C14" s="1403"/>
      <c r="D14" s="1403" t="s">
        <v>696</v>
      </c>
      <c r="E14" s="1403"/>
      <c r="F14" s="1403"/>
      <c r="I14" s="1398">
        <v>5</v>
      </c>
      <c r="J14" s="1399">
        <f t="shared" si="3"/>
        <v>-18234.662412431404</v>
      </c>
      <c r="K14" s="1399">
        <f t="shared" si="0"/>
        <v>-2312.6116099029095</v>
      </c>
      <c r="L14" s="1399">
        <f t="shared" si="1"/>
        <v>20547.274022334295</v>
      </c>
      <c r="M14" s="1399">
        <f t="shared" si="4"/>
        <v>18234.662412431386</v>
      </c>
      <c r="N14" s="1400">
        <f t="shared" si="2"/>
        <v>-38781.936434765696</v>
      </c>
      <c r="O14" s="1404" t="s">
        <v>1352</v>
      </c>
      <c r="P14" s="1404"/>
      <c r="Q14" s="1404"/>
    </row>
    <row r="15" spans="1:20" ht="14.25" customHeight="1">
      <c r="A15" s="1403" t="s">
        <v>697</v>
      </c>
      <c r="B15" s="1403"/>
      <c r="C15" s="1403"/>
      <c r="D15" s="1403" t="s">
        <v>698</v>
      </c>
      <c r="E15" s="1403"/>
      <c r="F15" s="1403"/>
      <c r="I15" s="1398">
        <v>6</v>
      </c>
      <c r="J15" s="1399">
        <f t="shared" si="3"/>
        <v>-38781.936434765696</v>
      </c>
      <c r="K15" s="1399">
        <f t="shared" si="0"/>
        <v>-4918.5202569152962</v>
      </c>
      <c r="L15" s="1399">
        <f t="shared" si="1"/>
        <v>23153.182669346683</v>
      </c>
      <c r="M15" s="1399">
        <f t="shared" si="4"/>
        <v>18234.662412431386</v>
      </c>
      <c r="N15" s="1400">
        <f t="shared" si="2"/>
        <v>-61935.119104112382</v>
      </c>
    </row>
    <row r="16" spans="1:20" ht="14.25" customHeight="1">
      <c r="A16" s="1403"/>
      <c r="B16" s="1403"/>
      <c r="C16" s="1403"/>
      <c r="D16" s="1403"/>
      <c r="E16" s="1403"/>
      <c r="F16" s="1403"/>
      <c r="I16" s="1398">
        <v>7</v>
      </c>
      <c r="J16" s="1399">
        <f t="shared" si="3"/>
        <v>-61935.119104112382</v>
      </c>
      <c r="K16" s="1399">
        <f t="shared" si="0"/>
        <v>-7854.9233466061896</v>
      </c>
      <c r="L16" s="1399">
        <f t="shared" si="1"/>
        <v>26089.585759037574</v>
      </c>
      <c r="M16" s="1399">
        <f t="shared" si="4"/>
        <v>18234.662412431386</v>
      </c>
      <c r="N16" s="1400">
        <f t="shared" si="2"/>
        <v>-88024.704863149964</v>
      </c>
    </row>
    <row r="17" spans="1:17" ht="14.25" customHeight="1">
      <c r="A17" s="1403"/>
      <c r="B17" s="1403"/>
      <c r="C17" s="1403"/>
      <c r="D17" s="1403"/>
      <c r="E17" s="1403"/>
      <c r="F17" s="1403"/>
      <c r="I17" s="1398">
        <v>8</v>
      </c>
      <c r="J17" s="1399">
        <f t="shared" si="3"/>
        <v>-88024.704863149964</v>
      </c>
      <c r="K17" s="1399">
        <f t="shared" si="0"/>
        <v>-11163.73584662674</v>
      </c>
      <c r="L17" s="1399">
        <f t="shared" si="1"/>
        <v>29398.398259058125</v>
      </c>
      <c r="M17" s="1399">
        <f t="shared" si="4"/>
        <v>18234.662412431386</v>
      </c>
      <c r="N17" s="1400">
        <f t="shared" si="2"/>
        <v>-117423.10312220809</v>
      </c>
    </row>
    <row r="18" spans="1:17" ht="14.25" customHeight="1">
      <c r="A18" s="1403"/>
      <c r="B18" s="1403"/>
      <c r="C18" s="1403"/>
      <c r="D18" s="1403"/>
      <c r="E18" s="1403"/>
      <c r="F18" s="1403"/>
      <c r="I18" s="1398">
        <v>9</v>
      </c>
      <c r="J18" s="1399">
        <f t="shared" si="3"/>
        <v>-117423.10312220809</v>
      </c>
      <c r="K18" s="1399">
        <f t="shared" si="0"/>
        <v>-14892.188591663435</v>
      </c>
      <c r="L18" s="1399">
        <f t="shared" si="1"/>
        <v>33126.851004094817</v>
      </c>
      <c r="M18" s="1399">
        <f t="shared" si="4"/>
        <v>18234.662412431386</v>
      </c>
      <c r="N18" s="1400">
        <f t="shared" si="2"/>
        <v>-150549.95412630291</v>
      </c>
    </row>
    <row r="19" spans="1:17" ht="14.25" customHeight="1">
      <c r="A19" s="1403"/>
      <c r="B19" s="1403"/>
      <c r="C19" s="1403"/>
      <c r="D19" s="1403"/>
      <c r="E19" s="1403"/>
      <c r="F19" s="1403"/>
      <c r="I19" s="1398">
        <v>10</v>
      </c>
      <c r="J19" s="1399">
        <f t="shared" si="3"/>
        <v>-150549.95412630291</v>
      </c>
      <c r="K19" s="1399">
        <f t="shared" si="0"/>
        <v>-19093.502468435032</v>
      </c>
      <c r="L19" s="1399">
        <f t="shared" si="1"/>
        <v>37328.164880866418</v>
      </c>
      <c r="M19" s="1399">
        <f t="shared" si="4"/>
        <v>18234.662412431386</v>
      </c>
      <c r="N19" s="1400">
        <f t="shared" si="2"/>
        <v>-187878.11900716933</v>
      </c>
    </row>
    <row r="20" spans="1:17" ht="14.25" customHeight="1" thickBot="1">
      <c r="A20" s="1403"/>
      <c r="B20" s="1403"/>
      <c r="C20" s="1403"/>
      <c r="D20" s="1403"/>
      <c r="E20" s="1403"/>
      <c r="F20" s="1403"/>
      <c r="I20" s="1405" t="s">
        <v>621</v>
      </c>
      <c r="J20" s="1406"/>
      <c r="K20" s="1406">
        <f>SUM(K10:K12)</f>
        <v>11415.987237294145</v>
      </c>
      <c r="L20" s="1406">
        <f>SUM(L10:L12)</f>
        <v>43288.000000000015</v>
      </c>
      <c r="M20" s="1406">
        <f>SUM(M10:M13)</f>
        <v>72938.649649725543</v>
      </c>
      <c r="N20" s="1407"/>
    </row>
    <row r="21" spans="1:17" ht="14.25" customHeight="1" thickBot="1">
      <c r="A21" s="1403"/>
      <c r="B21" s="1403"/>
      <c r="C21" s="1403"/>
      <c r="D21" s="1403"/>
      <c r="E21" s="1403"/>
      <c r="F21" s="1403"/>
    </row>
    <row r="22" spans="1:17" ht="14.25" customHeight="1" thickBot="1">
      <c r="I22" s="1380" t="s">
        <v>108</v>
      </c>
      <c r="J22" s="1381" t="s">
        <v>1013</v>
      </c>
      <c r="K22" s="1381"/>
      <c r="L22" s="1879" t="s">
        <v>607</v>
      </c>
      <c r="M22" s="1880"/>
      <c r="N22" s="1382">
        <v>0.13</v>
      </c>
      <c r="O22" s="1404" t="s">
        <v>1353</v>
      </c>
    </row>
    <row r="23" spans="1:17" ht="14.25" customHeight="1" thickBot="1">
      <c r="I23" s="1381"/>
      <c r="J23" s="1381"/>
      <c r="K23" s="1381"/>
      <c r="L23" s="1877" t="s">
        <v>608</v>
      </c>
      <c r="M23" s="1878"/>
      <c r="N23" s="1385">
        <v>30</v>
      </c>
      <c r="O23" s="1404" t="s">
        <v>1352</v>
      </c>
      <c r="P23" s="1404"/>
      <c r="Q23" s="1404"/>
    </row>
    <row r="24" spans="1:17" ht="14.25" customHeight="1">
      <c r="I24" s="1386" t="s">
        <v>609</v>
      </c>
      <c r="J24" s="1387">
        <v>43288</v>
      </c>
      <c r="K24" s="1381"/>
      <c r="L24" s="1877" t="s">
        <v>610</v>
      </c>
      <c r="M24" s="1878"/>
      <c r="N24" s="1385">
        <v>360</v>
      </c>
    </row>
    <row r="25" spans="1:17" ht="14.25" customHeight="1">
      <c r="I25" s="1388" t="s">
        <v>102</v>
      </c>
      <c r="J25" s="1389">
        <f>N26</f>
        <v>0.1380324816138776</v>
      </c>
      <c r="K25" s="1381"/>
      <c r="L25" s="1877" t="s">
        <v>612</v>
      </c>
      <c r="M25" s="1878"/>
      <c r="N25" s="1385">
        <v>360</v>
      </c>
    </row>
    <row r="26" spans="1:17" ht="14.25" customHeight="1" thickBot="1">
      <c r="A26" s="1408" t="s">
        <v>699</v>
      </c>
      <c r="I26" s="1390" t="s">
        <v>614</v>
      </c>
      <c r="J26" s="1391">
        <v>4</v>
      </c>
      <c r="K26" s="1381"/>
      <c r="L26" s="1875" t="s">
        <v>616</v>
      </c>
      <c r="M26" s="1876"/>
      <c r="N26" s="1392">
        <f>((1+N22*N23/N25)^(N24/N23))-1</f>
        <v>0.1380324816138776</v>
      </c>
    </row>
    <row r="27" spans="1:17" ht="14.25" customHeight="1" thickBot="1">
      <c r="A27" s="1409"/>
      <c r="I27" s="1381"/>
      <c r="J27" s="1381"/>
      <c r="K27" s="1381"/>
      <c r="L27" s="1381"/>
      <c r="M27" s="1381"/>
      <c r="N27" s="1381"/>
    </row>
    <row r="28" spans="1:17" ht="14.25" customHeight="1">
      <c r="I28" s="1395" t="s">
        <v>427</v>
      </c>
      <c r="J28" s="1396" t="s">
        <v>428</v>
      </c>
      <c r="K28" s="1396" t="s">
        <v>102</v>
      </c>
      <c r="L28" s="1396" t="s">
        <v>107</v>
      </c>
      <c r="M28" s="1396" t="s">
        <v>109</v>
      </c>
      <c r="N28" s="1397" t="s">
        <v>429</v>
      </c>
    </row>
    <row r="29" spans="1:17" ht="14.25" customHeight="1">
      <c r="A29" s="1410" t="s">
        <v>0</v>
      </c>
      <c r="B29" s="1411">
        <v>0.15</v>
      </c>
      <c r="I29" s="1398">
        <v>1</v>
      </c>
      <c r="J29" s="1399">
        <f>J24</f>
        <v>43288</v>
      </c>
      <c r="K29" s="1399">
        <f t="shared" ref="K29:K38" si="5">J29*$J$25</f>
        <v>5975.1500641015336</v>
      </c>
      <c r="L29" s="1399">
        <f>J29/$J$26</f>
        <v>10822</v>
      </c>
      <c r="M29" s="1399">
        <f t="shared" ref="M29:M38" si="6">K29+L29</f>
        <v>16797.150064101534</v>
      </c>
      <c r="N29" s="1400">
        <f t="shared" ref="N29:N38" si="7">J29-L29</f>
        <v>32466</v>
      </c>
    </row>
    <row r="30" spans="1:17" ht="14.25" customHeight="1">
      <c r="A30" s="1410" t="s">
        <v>700</v>
      </c>
      <c r="B30" s="1412">
        <v>360</v>
      </c>
      <c r="I30" s="1398">
        <v>2</v>
      </c>
      <c r="J30" s="1399">
        <f t="shared" ref="J30:J38" si="8">N29</f>
        <v>32466</v>
      </c>
      <c r="K30" s="1399">
        <f t="shared" si="5"/>
        <v>4481.3625480761502</v>
      </c>
      <c r="L30" s="1399">
        <f t="shared" ref="L30:L38" si="9">L29</f>
        <v>10822</v>
      </c>
      <c r="M30" s="1399">
        <f t="shared" si="6"/>
        <v>15303.362548076151</v>
      </c>
      <c r="N30" s="1400">
        <f t="shared" si="7"/>
        <v>21644</v>
      </c>
      <c r="P30" s="1399"/>
      <c r="Q30" s="1399"/>
    </row>
    <row r="31" spans="1:17" ht="14.25" customHeight="1">
      <c r="A31" s="1413" t="s">
        <v>701</v>
      </c>
      <c r="B31" s="1412">
        <v>30</v>
      </c>
      <c r="C31" s="1323" t="s">
        <v>702</v>
      </c>
      <c r="I31" s="1398">
        <v>3</v>
      </c>
      <c r="J31" s="1399">
        <f t="shared" si="8"/>
        <v>21644</v>
      </c>
      <c r="K31" s="1399">
        <f t="shared" si="5"/>
        <v>2987.5750320507668</v>
      </c>
      <c r="L31" s="1399">
        <f t="shared" si="9"/>
        <v>10822</v>
      </c>
      <c r="M31" s="1399">
        <f t="shared" si="6"/>
        <v>13809.575032050767</v>
      </c>
      <c r="N31" s="1400">
        <f t="shared" si="7"/>
        <v>10822</v>
      </c>
      <c r="P31" s="1399"/>
      <c r="Q31" s="1399"/>
    </row>
    <row r="32" spans="1:17" ht="14.25" customHeight="1">
      <c r="A32" s="1413"/>
      <c r="B32" s="1413"/>
      <c r="I32" s="1398">
        <v>4</v>
      </c>
      <c r="J32" s="1399">
        <f t="shared" si="8"/>
        <v>10822</v>
      </c>
      <c r="K32" s="1399">
        <f t="shared" si="5"/>
        <v>1493.7875160253834</v>
      </c>
      <c r="L32" s="1399">
        <f t="shared" si="9"/>
        <v>10822</v>
      </c>
      <c r="M32" s="1399">
        <f t="shared" si="6"/>
        <v>12315.787516025383</v>
      </c>
      <c r="N32" s="1400">
        <f t="shared" si="7"/>
        <v>0</v>
      </c>
      <c r="P32" s="1399"/>
      <c r="Q32" s="1399"/>
    </row>
    <row r="33" spans="1:17" ht="14.25" customHeight="1">
      <c r="A33" s="1410" t="s">
        <v>703</v>
      </c>
      <c r="B33" s="1414">
        <f>(1+B29*B31/B30)^(B34/B31)-1</f>
        <v>0.16075451772299854</v>
      </c>
      <c r="I33" s="1398">
        <v>5</v>
      </c>
      <c r="J33" s="1399">
        <f t="shared" si="8"/>
        <v>0</v>
      </c>
      <c r="K33" s="1399">
        <f t="shared" si="5"/>
        <v>0</v>
      </c>
      <c r="L33" s="1399">
        <f t="shared" si="9"/>
        <v>10822</v>
      </c>
      <c r="M33" s="1399">
        <f t="shared" si="6"/>
        <v>10822</v>
      </c>
      <c r="N33" s="1400">
        <f t="shared" si="7"/>
        <v>-10822</v>
      </c>
      <c r="P33" s="1399"/>
      <c r="Q33" s="1399"/>
    </row>
    <row r="34" spans="1:17" ht="14.25" customHeight="1">
      <c r="A34" s="1410" t="s">
        <v>700</v>
      </c>
      <c r="B34" s="1412">
        <v>360</v>
      </c>
      <c r="I34" s="1398">
        <v>6</v>
      </c>
      <c r="J34" s="1399">
        <f t="shared" si="8"/>
        <v>-10822</v>
      </c>
      <c r="K34" s="1399">
        <f t="shared" si="5"/>
        <v>-1493.7875160253834</v>
      </c>
      <c r="L34" s="1399">
        <f t="shared" si="9"/>
        <v>10822</v>
      </c>
      <c r="M34" s="1399">
        <f t="shared" si="6"/>
        <v>9328.2124839746175</v>
      </c>
      <c r="N34" s="1400">
        <f t="shared" si="7"/>
        <v>-21644</v>
      </c>
    </row>
    <row r="35" spans="1:17" ht="14.25" customHeight="1">
      <c r="I35" s="1398">
        <v>7</v>
      </c>
      <c r="J35" s="1399">
        <f t="shared" si="8"/>
        <v>-21644</v>
      </c>
      <c r="K35" s="1399">
        <f t="shared" si="5"/>
        <v>-2987.5750320507668</v>
      </c>
      <c r="L35" s="1399">
        <f t="shared" si="9"/>
        <v>10822</v>
      </c>
      <c r="M35" s="1399">
        <f t="shared" si="6"/>
        <v>7834.4249679492332</v>
      </c>
      <c r="N35" s="1400">
        <f t="shared" si="7"/>
        <v>-32466</v>
      </c>
    </row>
    <row r="36" spans="1:17" ht="14.25" customHeight="1">
      <c r="I36" s="1398">
        <v>8</v>
      </c>
      <c r="J36" s="1399">
        <f t="shared" si="8"/>
        <v>-32466</v>
      </c>
      <c r="K36" s="1399">
        <f t="shared" si="5"/>
        <v>-4481.3625480761502</v>
      </c>
      <c r="L36" s="1399">
        <f t="shared" si="9"/>
        <v>10822</v>
      </c>
      <c r="M36" s="1399">
        <f t="shared" si="6"/>
        <v>6340.6374519238498</v>
      </c>
      <c r="N36" s="1400">
        <f t="shared" si="7"/>
        <v>-43288</v>
      </c>
    </row>
    <row r="37" spans="1:17" ht="14.25" customHeight="1">
      <c r="I37" s="1398">
        <v>9</v>
      </c>
      <c r="J37" s="1399">
        <f t="shared" si="8"/>
        <v>-43288</v>
      </c>
      <c r="K37" s="1399">
        <f t="shared" si="5"/>
        <v>-5975.1500641015336</v>
      </c>
      <c r="L37" s="1399">
        <f t="shared" si="9"/>
        <v>10822</v>
      </c>
      <c r="M37" s="1399">
        <f t="shared" si="6"/>
        <v>4846.8499358984664</v>
      </c>
      <c r="N37" s="1400">
        <f t="shared" si="7"/>
        <v>-54110</v>
      </c>
    </row>
    <row r="38" spans="1:17" ht="14.25" customHeight="1">
      <c r="A38" s="1410" t="s">
        <v>0</v>
      </c>
      <c r="B38" s="1411">
        <v>0.18</v>
      </c>
      <c r="I38" s="1398">
        <v>10</v>
      </c>
      <c r="J38" s="1399">
        <f t="shared" si="8"/>
        <v>-54110</v>
      </c>
      <c r="K38" s="1399">
        <f t="shared" si="5"/>
        <v>-7468.9375801269171</v>
      </c>
      <c r="L38" s="1399">
        <f t="shared" si="9"/>
        <v>10822</v>
      </c>
      <c r="M38" s="1399">
        <f t="shared" si="6"/>
        <v>3353.0624198730829</v>
      </c>
      <c r="N38" s="1400">
        <f t="shared" si="7"/>
        <v>-64932</v>
      </c>
    </row>
    <row r="39" spans="1:17" ht="14.25" customHeight="1" thickBot="1">
      <c r="A39" s="1410" t="s">
        <v>700</v>
      </c>
      <c r="B39" s="1412">
        <v>360</v>
      </c>
      <c r="I39" s="1415" t="s">
        <v>621</v>
      </c>
      <c r="J39" s="1406"/>
      <c r="K39" s="1406">
        <f>SUM(K29:K32)</f>
        <v>14937.875160253836</v>
      </c>
      <c r="L39" s="1406">
        <f>SUM(L29:L32)</f>
        <v>43288</v>
      </c>
      <c r="M39" s="1406">
        <f>SUM(M29:M32)</f>
        <v>58225.875160253832</v>
      </c>
      <c r="N39" s="1407"/>
    </row>
    <row r="40" spans="1:17" ht="14.25" customHeight="1" thickBot="1">
      <c r="A40" s="1413" t="s">
        <v>701</v>
      </c>
      <c r="B40" s="1412">
        <v>30</v>
      </c>
      <c r="C40" s="1323" t="s">
        <v>702</v>
      </c>
    </row>
    <row r="41" spans="1:17" ht="14.25" customHeight="1" thickBot="1">
      <c r="A41" s="1413"/>
      <c r="B41" s="1413"/>
      <c r="I41" s="1380" t="s">
        <v>36</v>
      </c>
      <c r="J41" s="1381" t="s">
        <v>1012</v>
      </c>
      <c r="K41" s="1381"/>
      <c r="L41" s="1879" t="s">
        <v>607</v>
      </c>
      <c r="M41" s="1880"/>
      <c r="N41" s="1382">
        <v>0.08</v>
      </c>
    </row>
    <row r="42" spans="1:17" ht="14.25" customHeight="1" thickBot="1">
      <c r="A42" s="1410" t="s">
        <v>703</v>
      </c>
      <c r="B42" s="1414">
        <f>(1+B38*B40/B39)^(B43/B40)-1</f>
        <v>0.19561817146153326</v>
      </c>
      <c r="I42" s="1381"/>
      <c r="J42" s="1381"/>
      <c r="K42" s="1381"/>
      <c r="L42" s="1877" t="s">
        <v>608</v>
      </c>
      <c r="M42" s="1878"/>
      <c r="N42" s="1385">
        <v>30</v>
      </c>
    </row>
    <row r="43" spans="1:17" ht="14.25" customHeight="1">
      <c r="A43" s="1410" t="s">
        <v>700</v>
      </c>
      <c r="B43" s="1412">
        <v>360</v>
      </c>
      <c r="I43" s="1386" t="s">
        <v>609</v>
      </c>
      <c r="J43" s="1387">
        <v>15000</v>
      </c>
      <c r="K43" s="1381"/>
      <c r="L43" s="1877" t="s">
        <v>610</v>
      </c>
      <c r="M43" s="1878"/>
      <c r="N43" s="1385">
        <v>360</v>
      </c>
    </row>
    <row r="44" spans="1:17" ht="14.25" customHeight="1">
      <c r="A44" s="1381"/>
      <c r="B44" s="1381"/>
      <c r="I44" s="1388" t="s">
        <v>102</v>
      </c>
      <c r="J44" s="1389">
        <f>N45</f>
        <v>8.2999506807510004E-2</v>
      </c>
      <c r="K44" s="1381"/>
      <c r="L44" s="1877" t="s">
        <v>612</v>
      </c>
      <c r="M44" s="1878"/>
      <c r="N44" s="1385">
        <v>360</v>
      </c>
    </row>
    <row r="45" spans="1:17" ht="14.25" customHeight="1" thickBot="1">
      <c r="A45" s="1381"/>
      <c r="B45" s="1416"/>
      <c r="I45" s="1390" t="s">
        <v>614</v>
      </c>
      <c r="J45" s="1391">
        <v>3</v>
      </c>
      <c r="K45" s="1381"/>
      <c r="L45" s="1875" t="s">
        <v>616</v>
      </c>
      <c r="M45" s="1876"/>
      <c r="N45" s="1392">
        <f>((1+N41*N42/N44)^(N43/N42))-1</f>
        <v>8.2999506807510004E-2</v>
      </c>
    </row>
    <row r="46" spans="1:17" ht="14.25" customHeight="1" thickBot="1">
      <c r="A46" s="1381"/>
      <c r="B46" s="1381"/>
      <c r="I46" s="1381"/>
      <c r="J46" s="1381"/>
      <c r="K46" s="1381"/>
      <c r="L46" s="1381"/>
      <c r="M46" s="1381"/>
      <c r="N46" s="1381"/>
    </row>
    <row r="47" spans="1:17" ht="14.25" customHeight="1">
      <c r="I47" s="1417" t="s">
        <v>427</v>
      </c>
      <c r="J47" s="1418" t="s">
        <v>428</v>
      </c>
      <c r="K47" s="1418" t="s">
        <v>102</v>
      </c>
      <c r="L47" s="1418" t="s">
        <v>107</v>
      </c>
      <c r="M47" s="1418" t="s">
        <v>109</v>
      </c>
      <c r="N47" s="1419" t="s">
        <v>429</v>
      </c>
    </row>
    <row r="48" spans="1:17" ht="14.25" customHeight="1">
      <c r="I48" s="1420">
        <v>1</v>
      </c>
      <c r="J48" s="1421">
        <f>J43</f>
        <v>15000</v>
      </c>
      <c r="K48" s="1421">
        <f>J48*$J$44</f>
        <v>1244.99260211265</v>
      </c>
      <c r="L48" s="1421">
        <v>0</v>
      </c>
      <c r="M48" s="1421">
        <v>0</v>
      </c>
      <c r="N48" s="1422">
        <f>J48-L48</f>
        <v>15000</v>
      </c>
    </row>
    <row r="49" spans="9:14" ht="14.25" customHeight="1">
      <c r="I49" s="1420">
        <v>2</v>
      </c>
      <c r="J49" s="1421">
        <f>N48</f>
        <v>15000</v>
      </c>
      <c r="K49" s="1421">
        <f>K48</f>
        <v>1244.99260211265</v>
      </c>
      <c r="L49" s="1421">
        <f>L48</f>
        <v>0</v>
      </c>
      <c r="M49" s="1421">
        <v>0</v>
      </c>
      <c r="N49" s="1422">
        <f>J49-L49</f>
        <v>15000</v>
      </c>
    </row>
    <row r="50" spans="9:14" ht="14.25" customHeight="1" thickBot="1">
      <c r="I50" s="1423">
        <v>3</v>
      </c>
      <c r="J50" s="1424">
        <f>N49</f>
        <v>15000</v>
      </c>
      <c r="K50" s="1424">
        <f>K49</f>
        <v>1244.99260211265</v>
      </c>
      <c r="L50" s="1424">
        <f>J43</f>
        <v>15000</v>
      </c>
      <c r="M50" s="1424">
        <v>0</v>
      </c>
      <c r="N50" s="1425">
        <f>J50-L50</f>
        <v>0</v>
      </c>
    </row>
    <row r="51" spans="9:14" ht="14.25" customHeight="1"/>
    <row r="52" spans="9:14" ht="14.25" customHeight="1"/>
    <row r="53" spans="9:14" ht="14.25" customHeight="1"/>
    <row r="54" spans="9:14" ht="14.25" customHeight="1"/>
    <row r="55" spans="9:14" ht="14.25" customHeight="1"/>
    <row r="56" spans="9:14" ht="14.25" customHeight="1"/>
    <row r="57" spans="9:14" ht="14.25" customHeight="1"/>
    <row r="58" spans="9:14" ht="14.25" customHeight="1"/>
    <row r="59" spans="9:14" ht="14.25" customHeight="1"/>
    <row r="60" spans="9:14" ht="14.25" customHeight="1"/>
    <row r="61" spans="9:14" ht="14.25" customHeight="1"/>
    <row r="62" spans="9:14" ht="14.25" customHeight="1"/>
    <row r="63" spans="9:14" ht="14.25" customHeight="1"/>
    <row r="64" spans="9:1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sheetData>
  <mergeCells count="20">
    <mergeCell ref="R6:T6"/>
    <mergeCell ref="L7:M7"/>
    <mergeCell ref="R7:S7"/>
    <mergeCell ref="L24:M24"/>
    <mergeCell ref="L3:M3"/>
    <mergeCell ref="L4:M4"/>
    <mergeCell ref="L5:M5"/>
    <mergeCell ref="L6:M6"/>
    <mergeCell ref="R8:S8"/>
    <mergeCell ref="R9:S9"/>
    <mergeCell ref="R10:S10"/>
    <mergeCell ref="L22:M22"/>
    <mergeCell ref="L23:M23"/>
    <mergeCell ref="L45:M45"/>
    <mergeCell ref="L25:M25"/>
    <mergeCell ref="L26:M26"/>
    <mergeCell ref="L41:M41"/>
    <mergeCell ref="L42:M42"/>
    <mergeCell ref="L43:M43"/>
    <mergeCell ref="L44:M44"/>
  </mergeCells>
  <hyperlinks>
    <hyperlink ref="A26" r:id="rId1" xr:uid="{A687AA83-F310-40BF-B834-7F2D9B21619B}"/>
  </hyperlinks>
  <pageMargins left="0.7" right="0.7" top="0.75" bottom="0.75" header="0" footer="0"/>
  <pageSetup orientation="landscape"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4FC7-AA7A-4228-921E-28D4CC96DF1C}">
  <dimension ref="A1:I59"/>
  <sheetViews>
    <sheetView tabSelected="1" workbookViewId="0">
      <selection activeCell="E16" sqref="E16"/>
    </sheetView>
  </sheetViews>
  <sheetFormatPr defaultRowHeight="12.75"/>
  <cols>
    <col min="1" max="1" width="18.42578125" customWidth="1"/>
    <col min="2" max="2" width="39.140625" customWidth="1"/>
    <col min="3" max="3" width="38.28515625" bestFit="1" customWidth="1"/>
    <col min="9" max="9" width="16.140625" customWidth="1"/>
  </cols>
  <sheetData>
    <row r="1" spans="1:4">
      <c r="A1" s="1888" t="s">
        <v>1492</v>
      </c>
      <c r="B1" s="1889"/>
    </row>
    <row r="2" spans="1:4">
      <c r="A2" s="342" t="s">
        <v>1493</v>
      </c>
      <c r="B2" s="1568">
        <v>3500000</v>
      </c>
      <c r="C2" s="254"/>
    </row>
    <row r="3" spans="1:4">
      <c r="A3" s="342" t="s">
        <v>1494</v>
      </c>
      <c r="B3" s="1568">
        <f>B2*(1+(0.15*(210/360)))</f>
        <v>3806249.9999999995</v>
      </c>
      <c r="C3" s="254"/>
    </row>
    <row r="4" spans="1:4">
      <c r="A4" s="342" t="s">
        <v>1495</v>
      </c>
      <c r="B4" s="1568">
        <f>B3*(1+(0.18*(150/360)))</f>
        <v>4091718.7499999995</v>
      </c>
      <c r="C4" s="254">
        <f>B4-B3</f>
        <v>285468.75</v>
      </c>
      <c r="D4" t="s">
        <v>1496</v>
      </c>
    </row>
    <row r="17" spans="1:3">
      <c r="B17" t="s">
        <v>1497</v>
      </c>
      <c r="C17" t="s">
        <v>1498</v>
      </c>
    </row>
    <row r="18" spans="1:3">
      <c r="B18" t="s">
        <v>1499</v>
      </c>
    </row>
    <row r="22" spans="1:3">
      <c r="B22" t="s">
        <v>1500</v>
      </c>
    </row>
    <row r="23" spans="1:3">
      <c r="B23" t="s">
        <v>1501</v>
      </c>
    </row>
    <row r="25" spans="1:3">
      <c r="B25" t="s">
        <v>1502</v>
      </c>
    </row>
    <row r="26" spans="1:3">
      <c r="A26" s="1810" t="s">
        <v>1505</v>
      </c>
      <c r="B26" s="1810"/>
      <c r="C26" s="1810"/>
    </row>
    <row r="27" spans="1:3">
      <c r="A27" s="1572" t="s">
        <v>1503</v>
      </c>
      <c r="B27" s="1571">
        <f>1+0.15*(210/360)</f>
        <v>1.0874999999999999</v>
      </c>
      <c r="C27" s="1570">
        <f>(0.18*150)/360</f>
        <v>7.4999999999999997E-2</v>
      </c>
    </row>
    <row r="28" spans="1:3">
      <c r="A28" s="592"/>
      <c r="B28" s="1044" t="s">
        <v>1506</v>
      </c>
      <c r="C28" s="1569"/>
    </row>
    <row r="29" spans="1:3">
      <c r="A29" s="254"/>
      <c r="B29" s="1573">
        <f>281247.89/(1.0875*0.075)</f>
        <v>3448249.9923371649</v>
      </c>
    </row>
    <row r="30" spans="1:3">
      <c r="A30" t="s">
        <v>1504</v>
      </c>
    </row>
    <row r="45" spans="9:9">
      <c r="I45" t="s">
        <v>1507</v>
      </c>
    </row>
    <row r="47" spans="9:9">
      <c r="I47" t="s">
        <v>1508</v>
      </c>
    </row>
    <row r="49" spans="9:9">
      <c r="I49" t="s">
        <v>1509</v>
      </c>
    </row>
    <row r="50" spans="9:9">
      <c r="I50" t="s">
        <v>1510</v>
      </c>
    </row>
    <row r="51" spans="9:9">
      <c r="I51" t="s">
        <v>1511</v>
      </c>
    </row>
    <row r="53" spans="9:9">
      <c r="I53" t="s">
        <v>1512</v>
      </c>
    </row>
    <row r="55" spans="9:9">
      <c r="I55" t="s">
        <v>1513</v>
      </c>
    </row>
    <row r="56" spans="9:9">
      <c r="I56" s="254">
        <f>281247/(0.18*(150/360))</f>
        <v>3749960</v>
      </c>
    </row>
    <row r="58" spans="9:9">
      <c r="I58" t="s">
        <v>1514</v>
      </c>
    </row>
    <row r="59" spans="9:9">
      <c r="I59" s="1574">
        <f>I56/(1+0.15*(210/360))</f>
        <v>3448239.0804597703</v>
      </c>
    </row>
  </sheetData>
  <mergeCells count="2">
    <mergeCell ref="A1:B1"/>
    <mergeCell ref="A26:C26"/>
  </mergeCell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A9A78-A13E-40C5-A8AC-212378C01957}">
  <sheetPr>
    <outlinePr summaryBelow="0" summaryRight="0"/>
  </sheetPr>
  <dimension ref="A1:BL106"/>
  <sheetViews>
    <sheetView topLeftCell="A10" zoomScale="85" zoomScaleNormal="85" workbookViewId="0">
      <selection activeCell="F15" sqref="F15"/>
    </sheetView>
  </sheetViews>
  <sheetFormatPr defaultColWidth="14.42578125" defaultRowHeight="15" customHeight="1"/>
  <cols>
    <col min="1" max="1" width="14.42578125" style="1323"/>
    <col min="2" max="2" width="37" style="1323" customWidth="1"/>
    <col min="3" max="3" width="17.42578125" style="1323" bestFit="1" customWidth="1"/>
    <col min="4" max="4" width="18.140625" style="1323" customWidth="1"/>
    <col min="5" max="5" width="18.7109375" style="1323" bestFit="1" customWidth="1"/>
    <col min="6" max="6" width="22.85546875" style="1323" customWidth="1"/>
    <col min="7" max="7" width="19.140625" style="1323" bestFit="1" customWidth="1"/>
    <col min="8" max="8" width="20.140625" style="1323" bestFit="1" customWidth="1"/>
    <col min="9" max="9" width="21" style="1323" customWidth="1"/>
    <col min="10" max="10" width="22.42578125" style="1323" customWidth="1"/>
    <col min="11" max="16" width="20.140625" style="1323" bestFit="1" customWidth="1"/>
    <col min="17" max="17" width="24.85546875" style="1323" customWidth="1"/>
    <col min="18" max="18" width="21.7109375" style="1323" customWidth="1"/>
    <col min="19" max="19" width="24" style="1323" customWidth="1"/>
    <col min="20" max="20" width="18.7109375" style="1323" customWidth="1"/>
    <col min="21" max="21" width="28.28515625" style="1323" customWidth="1"/>
    <col min="22" max="22" width="19.5703125" style="1323" customWidth="1"/>
    <col min="23" max="23" width="19.28515625" style="1323" customWidth="1"/>
    <col min="24" max="24" width="18.7109375" style="1323" customWidth="1"/>
    <col min="25" max="25" width="18.85546875" style="1323" customWidth="1"/>
    <col min="26" max="26" width="19.28515625" style="1323" customWidth="1"/>
    <col min="27" max="27" width="20.28515625" style="1323" customWidth="1"/>
    <col min="28" max="28" width="19.28515625" style="1323" customWidth="1"/>
    <col min="29" max="29" width="20.5703125" style="1323" customWidth="1"/>
    <col min="30" max="30" width="23.7109375" style="1323" customWidth="1"/>
    <col min="31" max="31" width="20.5703125" style="1323" customWidth="1"/>
    <col min="32" max="32" width="22.140625" style="1323" customWidth="1"/>
    <col min="33" max="33" width="20" style="1323" customWidth="1"/>
    <col min="34" max="34" width="22.85546875" style="1323" customWidth="1"/>
    <col min="35" max="35" width="22" style="1323" customWidth="1"/>
    <col min="36" max="37" width="21.140625" style="1323" customWidth="1"/>
    <col min="38" max="38" width="21" style="1323" customWidth="1"/>
    <col min="39" max="41" width="21.7109375" style="1323" customWidth="1"/>
    <col min="42" max="42" width="24.5703125" style="1323" customWidth="1"/>
    <col min="43" max="43" width="20.7109375" style="1323" customWidth="1"/>
    <col min="44" max="44" width="23.42578125" style="1323" customWidth="1"/>
    <col min="45" max="45" width="22.85546875" style="1323" customWidth="1"/>
    <col min="46" max="46" width="23.42578125" style="1323" customWidth="1"/>
    <col min="47" max="47" width="20.140625" style="1323" customWidth="1"/>
    <col min="48" max="49" width="20.28515625" style="1323" customWidth="1"/>
    <col min="50" max="50" width="19.28515625" style="1323" customWidth="1"/>
    <col min="51" max="51" width="21.42578125" style="1323" customWidth="1"/>
    <col min="52" max="52" width="23.140625" style="1323" customWidth="1"/>
    <col min="53" max="53" width="21.5703125" style="1323" customWidth="1"/>
    <col min="54" max="54" width="22" style="1323" customWidth="1"/>
    <col min="55" max="55" width="23.140625" style="1323" customWidth="1"/>
    <col min="56" max="56" width="21.42578125" style="1323" customWidth="1"/>
    <col min="57" max="57" width="23.42578125" style="1323" customWidth="1"/>
    <col min="58" max="58" width="21.42578125" style="1323" customWidth="1"/>
    <col min="59" max="59" width="23.140625" style="1323" customWidth="1"/>
    <col min="60" max="60" width="22.140625" style="1323" customWidth="1"/>
    <col min="61" max="61" width="21.7109375" style="1323" customWidth="1"/>
    <col min="62" max="63" width="22.5703125" style="1323" customWidth="1"/>
    <col min="64" max="64" width="23.42578125" style="1323" customWidth="1"/>
    <col min="65" max="16384" width="14.42578125" style="1323"/>
  </cols>
  <sheetData>
    <row r="1" spans="1:64" ht="14.25">
      <c r="A1" s="1426"/>
    </row>
    <row r="3" spans="1:64" ht="15" customHeight="1">
      <c r="Q3" s="449" t="s">
        <v>629</v>
      </c>
      <c r="R3" s="449">
        <v>130000</v>
      </c>
      <c r="T3" s="450" t="s">
        <v>1354</v>
      </c>
      <c r="U3" s="450"/>
      <c r="V3" s="1427">
        <v>155000</v>
      </c>
      <c r="AC3" s="449" t="s">
        <v>629</v>
      </c>
      <c r="AD3" s="449">
        <v>135000</v>
      </c>
      <c r="AF3" s="450" t="s">
        <v>1354</v>
      </c>
      <c r="AG3" s="450"/>
      <c r="AH3" s="1427">
        <v>160000</v>
      </c>
      <c r="AO3" s="449" t="s">
        <v>629</v>
      </c>
      <c r="AP3" s="449">
        <v>140000</v>
      </c>
      <c r="AR3" s="450" t="s">
        <v>1354</v>
      </c>
      <c r="AS3" s="450"/>
      <c r="AT3" s="1427">
        <v>165000</v>
      </c>
      <c r="BA3" s="449" t="s">
        <v>629</v>
      </c>
      <c r="BB3" s="449">
        <v>145000</v>
      </c>
      <c r="BD3" s="450" t="s">
        <v>1354</v>
      </c>
      <c r="BE3" s="450"/>
      <c r="BF3" s="1427">
        <v>170000</v>
      </c>
    </row>
    <row r="4" spans="1:64" ht="15" customHeight="1">
      <c r="Q4" s="449" t="s">
        <v>631</v>
      </c>
      <c r="R4" s="450">
        <v>9000</v>
      </c>
      <c r="AC4" s="449" t="s">
        <v>631</v>
      </c>
      <c r="AD4" s="450">
        <v>9500</v>
      </c>
      <c r="AO4" s="449" t="s">
        <v>631</v>
      </c>
      <c r="AP4" s="450">
        <v>10000</v>
      </c>
      <c r="BA4" s="449" t="s">
        <v>631</v>
      </c>
      <c r="BB4" s="450">
        <v>10500</v>
      </c>
    </row>
    <row r="5" spans="1:64" ht="15" customHeight="1">
      <c r="B5" s="1428" t="s">
        <v>451</v>
      </c>
      <c r="C5" s="1410"/>
      <c r="D5" s="1410"/>
      <c r="E5" s="1890" t="s">
        <v>451</v>
      </c>
      <c r="F5" s="1890"/>
      <c r="G5" s="1890"/>
      <c r="H5" s="1890"/>
      <c r="I5" s="1890"/>
      <c r="J5" s="1890"/>
      <c r="K5" s="1890"/>
      <c r="L5" s="1890"/>
      <c r="M5" s="1890"/>
      <c r="N5" s="1890"/>
      <c r="O5" s="1890"/>
      <c r="P5" s="1890"/>
      <c r="Q5" s="1890" t="s">
        <v>632</v>
      </c>
      <c r="R5" s="1890"/>
      <c r="S5" s="1890"/>
      <c r="T5" s="1890"/>
      <c r="U5" s="1890"/>
      <c r="V5" s="1890"/>
      <c r="W5" s="1890"/>
      <c r="X5" s="1890"/>
      <c r="Y5" s="1890"/>
      <c r="Z5" s="1890"/>
      <c r="AA5" s="1890"/>
      <c r="AB5" s="1890"/>
      <c r="AC5" s="1890" t="s">
        <v>793</v>
      </c>
      <c r="AD5" s="1890"/>
      <c r="AE5" s="1890"/>
      <c r="AF5" s="1890"/>
      <c r="AG5" s="1890"/>
      <c r="AH5" s="1890"/>
      <c r="AI5" s="1890"/>
      <c r="AJ5" s="1890"/>
      <c r="AK5" s="1890"/>
      <c r="AL5" s="1890"/>
      <c r="AM5" s="1890"/>
      <c r="AN5" s="1890"/>
      <c r="AO5" s="1890" t="s">
        <v>794</v>
      </c>
      <c r="AP5" s="1890"/>
      <c r="AQ5" s="1890"/>
      <c r="AR5" s="1890"/>
      <c r="AS5" s="1890"/>
      <c r="AT5" s="1890"/>
      <c r="AU5" s="1890"/>
      <c r="AV5" s="1890"/>
      <c r="AW5" s="1890"/>
      <c r="AX5" s="1890"/>
      <c r="AY5" s="1890"/>
      <c r="AZ5" s="1890"/>
      <c r="BA5" s="1890" t="s">
        <v>795</v>
      </c>
      <c r="BB5" s="1890"/>
      <c r="BC5" s="1890"/>
      <c r="BD5" s="1890"/>
      <c r="BE5" s="1890"/>
      <c r="BF5" s="1890"/>
      <c r="BG5" s="1890"/>
      <c r="BH5" s="1890"/>
      <c r="BI5" s="1890"/>
      <c r="BJ5" s="1890"/>
      <c r="BK5" s="1890"/>
      <c r="BL5" s="1890"/>
    </row>
    <row r="6" spans="1:64" ht="15" customHeight="1">
      <c r="B6" s="1429" t="s">
        <v>633</v>
      </c>
      <c r="C6" s="1410"/>
      <c r="D6" s="1410"/>
      <c r="E6" s="1430">
        <v>1</v>
      </c>
      <c r="F6" s="1431">
        <v>2</v>
      </c>
      <c r="G6" s="1432">
        <v>3</v>
      </c>
      <c r="H6" s="1433">
        <v>4</v>
      </c>
      <c r="I6" s="1430">
        <v>5</v>
      </c>
      <c r="J6" s="1430">
        <v>6</v>
      </c>
      <c r="K6" s="1431">
        <v>7</v>
      </c>
      <c r="L6" s="1432">
        <v>8</v>
      </c>
      <c r="M6" s="1433">
        <v>9</v>
      </c>
      <c r="N6" s="1430">
        <v>10</v>
      </c>
      <c r="O6" s="1430">
        <v>11</v>
      </c>
      <c r="P6" s="1431">
        <v>12</v>
      </c>
      <c r="Q6" s="1430">
        <v>13</v>
      </c>
      <c r="R6" s="1431">
        <v>14</v>
      </c>
      <c r="S6" s="1432">
        <v>15</v>
      </c>
      <c r="T6" s="1433">
        <v>16</v>
      </c>
      <c r="U6" s="1430">
        <v>17</v>
      </c>
      <c r="V6" s="1430">
        <v>18</v>
      </c>
      <c r="W6" s="1431">
        <v>19</v>
      </c>
      <c r="X6" s="1432">
        <v>20</v>
      </c>
      <c r="Y6" s="1433">
        <v>21</v>
      </c>
      <c r="Z6" s="1430">
        <v>22</v>
      </c>
      <c r="AA6" s="1430">
        <v>23</v>
      </c>
      <c r="AB6" s="1431">
        <v>24</v>
      </c>
      <c r="AC6" s="1430">
        <v>25</v>
      </c>
      <c r="AD6" s="1431">
        <v>26</v>
      </c>
      <c r="AE6" s="1432">
        <v>27</v>
      </c>
      <c r="AF6" s="1433">
        <v>28</v>
      </c>
      <c r="AG6" s="1430">
        <v>29</v>
      </c>
      <c r="AH6" s="1430">
        <v>30</v>
      </c>
      <c r="AI6" s="1431">
        <v>31</v>
      </c>
      <c r="AJ6" s="1432">
        <v>32</v>
      </c>
      <c r="AK6" s="1433">
        <v>33</v>
      </c>
      <c r="AL6" s="1430">
        <v>34</v>
      </c>
      <c r="AM6" s="1430">
        <v>35</v>
      </c>
      <c r="AN6" s="1431">
        <v>36</v>
      </c>
      <c r="AO6" s="1430">
        <v>37</v>
      </c>
      <c r="AP6" s="1431">
        <v>38</v>
      </c>
      <c r="AQ6" s="1432">
        <v>39</v>
      </c>
      <c r="AR6" s="1433">
        <v>40</v>
      </c>
      <c r="AS6" s="1430">
        <v>41</v>
      </c>
      <c r="AT6" s="1430">
        <v>42</v>
      </c>
      <c r="AU6" s="1431">
        <v>43</v>
      </c>
      <c r="AV6" s="1432">
        <v>44</v>
      </c>
      <c r="AW6" s="1433">
        <v>45</v>
      </c>
      <c r="AX6" s="1430">
        <v>46</v>
      </c>
      <c r="AY6" s="1430">
        <v>47</v>
      </c>
      <c r="AZ6" s="1431">
        <v>48</v>
      </c>
      <c r="BA6" s="1430">
        <v>49</v>
      </c>
      <c r="BB6" s="1431">
        <v>50</v>
      </c>
      <c r="BC6" s="1432">
        <v>51</v>
      </c>
      <c r="BD6" s="1433">
        <v>52</v>
      </c>
      <c r="BE6" s="1430">
        <v>53</v>
      </c>
      <c r="BF6" s="1430">
        <v>54</v>
      </c>
      <c r="BG6" s="1431">
        <v>55</v>
      </c>
      <c r="BH6" s="1432">
        <v>56</v>
      </c>
      <c r="BI6" s="1433">
        <v>57</v>
      </c>
      <c r="BJ6" s="1430">
        <v>58</v>
      </c>
      <c r="BK6" s="1430">
        <v>59</v>
      </c>
      <c r="BL6" s="1431">
        <v>60</v>
      </c>
    </row>
    <row r="7" spans="1:64" ht="15" customHeight="1">
      <c r="B7" s="1434" t="s">
        <v>1355</v>
      </c>
      <c r="C7" s="459">
        <v>3500</v>
      </c>
      <c r="D7" s="1410"/>
      <c r="E7" s="1410">
        <f>$C$7/12</f>
        <v>291.66666666666669</v>
      </c>
      <c r="F7" s="1410">
        <f t="shared" ref="F7:P7" si="0">$C$7/12</f>
        <v>291.66666666666669</v>
      </c>
      <c r="G7" s="1410">
        <f t="shared" si="0"/>
        <v>291.66666666666669</v>
      </c>
      <c r="H7" s="1410">
        <f t="shared" si="0"/>
        <v>291.66666666666669</v>
      </c>
      <c r="I7" s="1410">
        <f t="shared" si="0"/>
        <v>291.66666666666669</v>
      </c>
      <c r="J7" s="1410">
        <f t="shared" si="0"/>
        <v>291.66666666666669</v>
      </c>
      <c r="K7" s="1410">
        <f t="shared" si="0"/>
        <v>291.66666666666669</v>
      </c>
      <c r="L7" s="1410">
        <f t="shared" si="0"/>
        <v>291.66666666666669</v>
      </c>
      <c r="M7" s="1410">
        <f t="shared" si="0"/>
        <v>291.66666666666669</v>
      </c>
      <c r="N7" s="1410">
        <f t="shared" si="0"/>
        <v>291.66666666666669</v>
      </c>
      <c r="O7" s="1410">
        <f t="shared" si="0"/>
        <v>291.66666666666669</v>
      </c>
      <c r="P7" s="1410">
        <f t="shared" si="0"/>
        <v>291.66666666666669</v>
      </c>
      <c r="Q7" s="1410">
        <f>R3/12</f>
        <v>10833.333333333334</v>
      </c>
      <c r="R7" s="1410">
        <f>R3/12</f>
        <v>10833.333333333334</v>
      </c>
      <c r="S7" s="1410">
        <f>R3/12</f>
        <v>10833.333333333334</v>
      </c>
      <c r="T7" s="1410">
        <f>R3/12</f>
        <v>10833.333333333334</v>
      </c>
      <c r="U7" s="1410">
        <f>R3/12</f>
        <v>10833.333333333334</v>
      </c>
      <c r="V7" s="1410">
        <f>R3/12</f>
        <v>10833.333333333334</v>
      </c>
      <c r="W7" s="1410">
        <f>R3/12</f>
        <v>10833.333333333334</v>
      </c>
      <c r="X7" s="1410">
        <f>R3/12</f>
        <v>10833.333333333334</v>
      </c>
      <c r="Y7" s="1410">
        <f>R3/12</f>
        <v>10833.333333333334</v>
      </c>
      <c r="Z7" s="1410">
        <f>R3/12</f>
        <v>10833.333333333334</v>
      </c>
      <c r="AA7" s="1410">
        <f>R3/12</f>
        <v>10833.333333333334</v>
      </c>
      <c r="AB7" s="1410">
        <f>R3/12</f>
        <v>10833.333333333334</v>
      </c>
      <c r="AC7" s="1410">
        <f>AD3/12</f>
        <v>11250</v>
      </c>
      <c r="AD7" s="1410">
        <f>AD3/12</f>
        <v>11250</v>
      </c>
      <c r="AE7" s="1410">
        <f>AD3/12</f>
        <v>11250</v>
      </c>
      <c r="AF7" s="1410">
        <f>AD3/12</f>
        <v>11250</v>
      </c>
      <c r="AG7" s="1410">
        <f>AD3/12</f>
        <v>11250</v>
      </c>
      <c r="AH7" s="1410">
        <f>AD3/12</f>
        <v>11250</v>
      </c>
      <c r="AI7" s="1410">
        <f>AD3/12</f>
        <v>11250</v>
      </c>
      <c r="AJ7" s="1410">
        <f>AD3/12</f>
        <v>11250</v>
      </c>
      <c r="AK7" s="1410">
        <f>AD3/12</f>
        <v>11250</v>
      </c>
      <c r="AL7" s="1410">
        <f>AD3/12</f>
        <v>11250</v>
      </c>
      <c r="AM7" s="1410">
        <f>AD3/12</f>
        <v>11250</v>
      </c>
      <c r="AN7" s="1410">
        <f>AD3/12</f>
        <v>11250</v>
      </c>
      <c r="AO7" s="1410">
        <f>AP3/12</f>
        <v>11666.666666666666</v>
      </c>
      <c r="AP7" s="1410">
        <f>AP3/12</f>
        <v>11666.666666666666</v>
      </c>
      <c r="AQ7" s="1410">
        <f>AP3/12</f>
        <v>11666.666666666666</v>
      </c>
      <c r="AR7" s="1410">
        <f>AP3/12</f>
        <v>11666.666666666666</v>
      </c>
      <c r="AS7" s="1410">
        <f>AP3/12</f>
        <v>11666.666666666666</v>
      </c>
      <c r="AT7" s="1410">
        <f>AP3/12</f>
        <v>11666.666666666666</v>
      </c>
      <c r="AU7" s="1410">
        <f>AP3/12</f>
        <v>11666.666666666666</v>
      </c>
      <c r="AV7" s="1410">
        <f>AP3/12</f>
        <v>11666.666666666666</v>
      </c>
      <c r="AW7" s="1410">
        <f>AP3/12</f>
        <v>11666.666666666666</v>
      </c>
      <c r="AX7" s="1410">
        <f>AP3/12</f>
        <v>11666.666666666666</v>
      </c>
      <c r="AY7" s="1410">
        <f>AP3/12</f>
        <v>11666.666666666666</v>
      </c>
      <c r="AZ7" s="1410">
        <f>AP3/12</f>
        <v>11666.666666666666</v>
      </c>
      <c r="BA7" s="1410">
        <f>BB3/12</f>
        <v>12083.333333333334</v>
      </c>
      <c r="BB7" s="1410">
        <f>BB3/12</f>
        <v>12083.333333333334</v>
      </c>
      <c r="BC7" s="1410">
        <f>BB3/12</f>
        <v>12083.333333333334</v>
      </c>
      <c r="BD7" s="1410">
        <f>BB3/12</f>
        <v>12083.333333333334</v>
      </c>
      <c r="BE7" s="1410">
        <f>BB3/12</f>
        <v>12083.333333333334</v>
      </c>
      <c r="BF7" s="1410">
        <f>BB3/12</f>
        <v>12083.333333333334</v>
      </c>
      <c r="BG7" s="1410">
        <f>BB3/12</f>
        <v>12083.333333333334</v>
      </c>
      <c r="BH7" s="1410">
        <f>BB3/12</f>
        <v>12083.333333333334</v>
      </c>
      <c r="BI7" s="1410">
        <f>BB3/12</f>
        <v>12083.333333333334</v>
      </c>
      <c r="BJ7" s="1410">
        <f>BB3/12</f>
        <v>12083.333333333334</v>
      </c>
      <c r="BK7" s="1410">
        <f>BB3/12</f>
        <v>12083.333333333334</v>
      </c>
      <c r="BL7" s="1410">
        <f>BB3/12</f>
        <v>12083.333333333334</v>
      </c>
    </row>
    <row r="8" spans="1:64" ht="15" customHeight="1">
      <c r="B8" s="1410"/>
      <c r="C8" s="1410"/>
      <c r="D8" s="1410"/>
      <c r="E8" s="1410"/>
      <c r="F8" s="1410"/>
      <c r="G8" s="1410"/>
      <c r="H8" s="1410"/>
      <c r="Q8" s="1410"/>
      <c r="R8" s="1410"/>
      <c r="S8" s="1410"/>
      <c r="T8" s="1410"/>
      <c r="AC8" s="1410"/>
      <c r="AD8" s="1410"/>
      <c r="AE8" s="1410"/>
      <c r="AF8" s="1410"/>
      <c r="AO8" s="1410"/>
      <c r="AP8" s="1410"/>
      <c r="AQ8" s="1410"/>
      <c r="AR8" s="1410"/>
      <c r="BA8" s="1410"/>
      <c r="BB8" s="1410"/>
      <c r="BC8" s="1410"/>
      <c r="BD8" s="1410"/>
    </row>
    <row r="9" spans="1:64" ht="15" customHeight="1">
      <c r="B9" s="1435" t="s">
        <v>220</v>
      </c>
      <c r="C9" s="450">
        <v>2000</v>
      </c>
      <c r="D9" s="1410"/>
      <c r="E9" s="1410"/>
      <c r="F9" s="1410"/>
      <c r="G9" s="1410"/>
      <c r="H9" s="1410"/>
      <c r="Q9" s="1410"/>
      <c r="R9" s="1410"/>
      <c r="S9" s="1410"/>
      <c r="T9" s="1410"/>
      <c r="AC9" s="1410"/>
      <c r="AD9" s="1410"/>
      <c r="AE9" s="1410"/>
      <c r="AF9" s="1410"/>
      <c r="AO9" s="1410"/>
      <c r="AP9" s="1410"/>
      <c r="AQ9" s="1410"/>
      <c r="AR9" s="1410"/>
      <c r="BA9" s="1410"/>
      <c r="BB9" s="1410"/>
      <c r="BC9" s="1410"/>
      <c r="BD9" s="1410"/>
    </row>
    <row r="10" spans="1:64" ht="15" customHeight="1">
      <c r="B10" s="1436" t="s">
        <v>1356</v>
      </c>
      <c r="C10" s="462">
        <v>0</v>
      </c>
      <c r="D10" s="1410"/>
      <c r="E10" s="1437">
        <f>$C$10*$C$9*E7</f>
        <v>0</v>
      </c>
      <c r="F10" s="1437">
        <f t="shared" ref="F10:P10" si="1">$C$10*$C$9*F7</f>
        <v>0</v>
      </c>
      <c r="G10" s="1437">
        <f t="shared" si="1"/>
        <v>0</v>
      </c>
      <c r="H10" s="1437">
        <f t="shared" si="1"/>
        <v>0</v>
      </c>
      <c r="I10" s="1437">
        <f t="shared" si="1"/>
        <v>0</v>
      </c>
      <c r="J10" s="1437">
        <f t="shared" si="1"/>
        <v>0</v>
      </c>
      <c r="K10" s="1437">
        <f t="shared" si="1"/>
        <v>0</v>
      </c>
      <c r="L10" s="1437">
        <f t="shared" si="1"/>
        <v>0</v>
      </c>
      <c r="M10" s="1437">
        <f t="shared" si="1"/>
        <v>0</v>
      </c>
      <c r="N10" s="1437">
        <f t="shared" si="1"/>
        <v>0</v>
      </c>
      <c r="O10" s="1437">
        <f t="shared" si="1"/>
        <v>0</v>
      </c>
      <c r="P10" s="1437">
        <f t="shared" si="1"/>
        <v>0</v>
      </c>
      <c r="Q10" s="1437">
        <f>$C$10*R4*Q7</f>
        <v>0</v>
      </c>
      <c r="R10" s="1437">
        <f>$C$10*R4*R7</f>
        <v>0</v>
      </c>
      <c r="S10" s="1437">
        <f>$C$10*R4*S7</f>
        <v>0</v>
      </c>
      <c r="T10" s="1437">
        <f>$C$10*R4*T7</f>
        <v>0</v>
      </c>
      <c r="U10" s="1437">
        <f>$C$10*R4*U7</f>
        <v>0</v>
      </c>
      <c r="V10" s="1437">
        <f>$C$10*R4*V7</f>
        <v>0</v>
      </c>
      <c r="W10" s="1437">
        <f>$C$10*R4*W7</f>
        <v>0</v>
      </c>
      <c r="X10" s="1437">
        <f>$C$10*R4*X7</f>
        <v>0</v>
      </c>
      <c r="Y10" s="1437">
        <f>$C$10*R4*Y7</f>
        <v>0</v>
      </c>
      <c r="Z10" s="1437">
        <f>$C$10*R4*Z7</f>
        <v>0</v>
      </c>
      <c r="AA10" s="1437">
        <f>$C$10*R4*AA7</f>
        <v>0</v>
      </c>
      <c r="AB10" s="1437">
        <f>$C$10*R4*AB7</f>
        <v>0</v>
      </c>
      <c r="AC10" s="1437">
        <f>$C$10*AD4*AC7</f>
        <v>0</v>
      </c>
      <c r="AD10" s="1437">
        <f>$C$10*AD4*AD7</f>
        <v>0</v>
      </c>
      <c r="AE10" s="1437">
        <f>$C$10*AD4*AE7</f>
        <v>0</v>
      </c>
      <c r="AF10" s="1437">
        <f>$C$10*AD4*AF7</f>
        <v>0</v>
      </c>
      <c r="AG10" s="1437">
        <f>$C$10*AD4*AG7</f>
        <v>0</v>
      </c>
      <c r="AH10" s="1437">
        <f>$C$10*AD4*AH7</f>
        <v>0</v>
      </c>
      <c r="AI10" s="1437">
        <f>$C$10*AD4*AI7</f>
        <v>0</v>
      </c>
      <c r="AJ10" s="1437">
        <f>$C$10*AD4*AJ7</f>
        <v>0</v>
      </c>
      <c r="AK10" s="1437">
        <f>$C$10*AD4*AK7</f>
        <v>0</v>
      </c>
      <c r="AL10" s="1437">
        <f>$C$10*AD4*AL7</f>
        <v>0</v>
      </c>
      <c r="AM10" s="1437">
        <f>$C$10*AD4*AM7</f>
        <v>0</v>
      </c>
      <c r="AN10" s="1437">
        <f>$C$10*AD4*AN7</f>
        <v>0</v>
      </c>
      <c r="AO10" s="1437">
        <f>$C$10*AP4*AO7</f>
        <v>0</v>
      </c>
      <c r="AP10" s="1437">
        <f>$C$10*AP4*AP7</f>
        <v>0</v>
      </c>
      <c r="AQ10" s="1437">
        <f>$C$10*AP4*AQ7</f>
        <v>0</v>
      </c>
      <c r="AR10" s="1437">
        <f>$C$10*AP4*AR7</f>
        <v>0</v>
      </c>
      <c r="AS10" s="1437">
        <f>$C$10*AP4*AS7</f>
        <v>0</v>
      </c>
      <c r="AT10" s="1437">
        <f>$C$10*AP4*AT7</f>
        <v>0</v>
      </c>
      <c r="AU10" s="1437">
        <f>$C$10*AP4*AU7</f>
        <v>0</v>
      </c>
      <c r="AV10" s="1437">
        <f>$C$10*AP4*AV7</f>
        <v>0</v>
      </c>
      <c r="AW10" s="1437">
        <f>$C$10*AP4*AW7</f>
        <v>0</v>
      </c>
      <c r="AX10" s="1437">
        <f>$C$10*AP4*AX7</f>
        <v>0</v>
      </c>
      <c r="AY10" s="1437">
        <f>$C$10*AP4*AY7</f>
        <v>0</v>
      </c>
      <c r="AZ10" s="1437">
        <f>$C$10*AP4*AZ7</f>
        <v>0</v>
      </c>
      <c r="BA10" s="1437">
        <f>$C$10*BB4*BA7</f>
        <v>0</v>
      </c>
      <c r="BB10" s="1437">
        <f>$C$10*BB4*BB7</f>
        <v>0</v>
      </c>
      <c r="BC10" s="1437">
        <f>$C$10*BB4*BC7</f>
        <v>0</v>
      </c>
      <c r="BD10" s="1437">
        <f>$C$10*BB4*BD7</f>
        <v>0</v>
      </c>
      <c r="BE10" s="1437">
        <f>$C$10*BB4*BE7</f>
        <v>0</v>
      </c>
      <c r="BF10" s="1437">
        <f>$C$10*BB4*BF7</f>
        <v>0</v>
      </c>
      <c r="BG10" s="1437">
        <f>$C$10*BB4*BG7</f>
        <v>0</v>
      </c>
      <c r="BH10" s="1437">
        <f>$C$10*BB4*BH7</f>
        <v>0</v>
      </c>
      <c r="BI10" s="1437">
        <f>$C$10*BB4*BI7</f>
        <v>0</v>
      </c>
      <c r="BJ10" s="1437">
        <f>$C$10*BB4*BJ7</f>
        <v>0</v>
      </c>
      <c r="BK10" s="1437">
        <f>$C$10*BB4*BK7</f>
        <v>0</v>
      </c>
      <c r="BL10" s="1437">
        <f>$C$10*BB4*BL7</f>
        <v>0</v>
      </c>
    </row>
    <row r="11" spans="1:64" ht="15" customHeight="1">
      <c r="B11" s="1436" t="s">
        <v>1357</v>
      </c>
      <c r="C11" s="462">
        <v>0</v>
      </c>
      <c r="D11" s="1410"/>
      <c r="E11" s="1437"/>
      <c r="F11" s="1437">
        <f t="shared" ref="F11:P11" si="2">$C$11*$C$9*F7</f>
        <v>0</v>
      </c>
      <c r="G11" s="1437">
        <f t="shared" si="2"/>
        <v>0</v>
      </c>
      <c r="H11" s="1437">
        <f t="shared" si="2"/>
        <v>0</v>
      </c>
      <c r="I11" s="1437">
        <f t="shared" si="2"/>
        <v>0</v>
      </c>
      <c r="J11" s="1437">
        <f t="shared" si="2"/>
        <v>0</v>
      </c>
      <c r="K11" s="1437">
        <f t="shared" si="2"/>
        <v>0</v>
      </c>
      <c r="L11" s="1437">
        <f t="shared" si="2"/>
        <v>0</v>
      </c>
      <c r="M11" s="1437">
        <f t="shared" si="2"/>
        <v>0</v>
      </c>
      <c r="N11" s="1437">
        <f t="shared" si="2"/>
        <v>0</v>
      </c>
      <c r="O11" s="1437">
        <f t="shared" si="2"/>
        <v>0</v>
      </c>
      <c r="P11" s="1437">
        <f t="shared" si="2"/>
        <v>0</v>
      </c>
      <c r="Q11" s="1437">
        <f>$C$11*R4*Q7</f>
        <v>0</v>
      </c>
      <c r="R11" s="1437">
        <f>$C$11*R4*R7</f>
        <v>0</v>
      </c>
      <c r="S11" s="1437">
        <f>$C$11*R4*S7</f>
        <v>0</v>
      </c>
      <c r="T11" s="1437">
        <f>$C$11*R4*T7</f>
        <v>0</v>
      </c>
      <c r="U11" s="1437">
        <f>$C$11*R4*U7</f>
        <v>0</v>
      </c>
      <c r="V11" s="1437">
        <f>$C$11*R4*V7</f>
        <v>0</v>
      </c>
      <c r="W11" s="1437">
        <f>$C$11*R4*W7</f>
        <v>0</v>
      </c>
      <c r="X11" s="1437">
        <f>$C$11*R4*X7</f>
        <v>0</v>
      </c>
      <c r="Y11" s="1437">
        <f>$C$11*R4*Y7</f>
        <v>0</v>
      </c>
      <c r="Z11" s="1437">
        <f>$C$11*R4*Z7</f>
        <v>0</v>
      </c>
      <c r="AA11" s="1437">
        <f>$C$11*R4*AA7</f>
        <v>0</v>
      </c>
      <c r="AB11" s="1437">
        <f>$C$11*R4*AB7</f>
        <v>0</v>
      </c>
      <c r="AC11" s="1437">
        <f>$C$11*AD4*AC7</f>
        <v>0</v>
      </c>
      <c r="AD11" s="1437">
        <f>$C$11*AD4*AD7</f>
        <v>0</v>
      </c>
      <c r="AE11" s="1437">
        <f>$C$11*AD4*AE7</f>
        <v>0</v>
      </c>
      <c r="AF11" s="1437">
        <f>$C$11*AD4*AF7</f>
        <v>0</v>
      </c>
      <c r="AG11" s="1437">
        <f>$C$11*AD4*AG7</f>
        <v>0</v>
      </c>
      <c r="AH11" s="1437">
        <f>$C$11*AD4*AH7</f>
        <v>0</v>
      </c>
      <c r="AI11" s="1437">
        <f>$C$11*AD4*AI7</f>
        <v>0</v>
      </c>
      <c r="AJ11" s="1437">
        <f>$C$11*AD4*AJ7</f>
        <v>0</v>
      </c>
      <c r="AK11" s="1437">
        <f>$C$11*AD4*AK7</f>
        <v>0</v>
      </c>
      <c r="AL11" s="1437">
        <f>$C$11*AD4*AL7</f>
        <v>0</v>
      </c>
      <c r="AM11" s="1437">
        <f>$C$11*AD4*AM7</f>
        <v>0</v>
      </c>
      <c r="AN11" s="1437">
        <f>$C$11*AD4*AN7</f>
        <v>0</v>
      </c>
      <c r="AO11" s="1437">
        <f>$C$11*AP4*AO7</f>
        <v>0</v>
      </c>
      <c r="AP11" s="1437">
        <f>$C$11*AP4*AP7</f>
        <v>0</v>
      </c>
      <c r="AQ11" s="1437">
        <f>$C$11*AP4*AQ7</f>
        <v>0</v>
      </c>
      <c r="AR11" s="1437">
        <f>$C$11*AP4*AR7</f>
        <v>0</v>
      </c>
      <c r="AS11" s="1437">
        <f>$C$11*AP4*AS7</f>
        <v>0</v>
      </c>
      <c r="AT11" s="1437">
        <f>$C$11*AP4*AT7</f>
        <v>0</v>
      </c>
      <c r="AU11" s="1437">
        <f>$C$11*AP4*AU7</f>
        <v>0</v>
      </c>
      <c r="AV11" s="1437">
        <f>$C$11*AP4*AV7</f>
        <v>0</v>
      </c>
      <c r="AW11" s="1437">
        <f>$C$11*AP4*AW7</f>
        <v>0</v>
      </c>
      <c r="AX11" s="1437">
        <f>$C$11*AP4*AX7</f>
        <v>0</v>
      </c>
      <c r="AY11" s="1437">
        <f>$C$11*AP4*AY7</f>
        <v>0</v>
      </c>
      <c r="AZ11" s="1437">
        <f>$C$11*AP4*AZ7</f>
        <v>0</v>
      </c>
      <c r="BA11" s="1437">
        <f>$C$11*BB4*BA7</f>
        <v>0</v>
      </c>
      <c r="BB11" s="1437">
        <f>$C$11*BB4*BB7</f>
        <v>0</v>
      </c>
      <c r="BC11" s="1437">
        <f>$C$11*BB4*BC7</f>
        <v>0</v>
      </c>
      <c r="BD11" s="1437">
        <f>$C$11*BB4*BD7</f>
        <v>0</v>
      </c>
      <c r="BE11" s="1437">
        <f>$C$11*BB4*BE7</f>
        <v>0</v>
      </c>
      <c r="BF11" s="1437">
        <f>$C$11*BB4*BF7</f>
        <v>0</v>
      </c>
      <c r="BG11" s="1437">
        <f>$C$11*BB4*BG7</f>
        <v>0</v>
      </c>
      <c r="BH11" s="1437">
        <f>$C$11*BB4*BH7</f>
        <v>0</v>
      </c>
      <c r="BI11" s="1437">
        <f>$C$11*BB4*BI7</f>
        <v>0</v>
      </c>
      <c r="BJ11" s="1437">
        <f>$C$11*BB4*BJ7</f>
        <v>0</v>
      </c>
      <c r="BK11" s="1437">
        <f>$C$11*BB4*BK7</f>
        <v>0</v>
      </c>
      <c r="BL11" s="1437">
        <f>$C$11*BB4*BL7</f>
        <v>0</v>
      </c>
    </row>
    <row r="12" spans="1:64" ht="15" customHeight="1">
      <c r="B12" s="1436" t="s">
        <v>1358</v>
      </c>
      <c r="C12" s="462">
        <v>0.3</v>
      </c>
      <c r="D12" s="1410"/>
      <c r="E12" s="1437"/>
      <c r="F12" s="1437"/>
      <c r="G12" s="1437">
        <f t="shared" ref="G12:P12" si="3">$C12*$C$9*G7</f>
        <v>175000</v>
      </c>
      <c r="H12" s="1437">
        <f t="shared" si="3"/>
        <v>175000</v>
      </c>
      <c r="I12" s="1437">
        <f t="shared" si="3"/>
        <v>175000</v>
      </c>
      <c r="J12" s="1437">
        <f t="shared" si="3"/>
        <v>175000</v>
      </c>
      <c r="K12" s="1437">
        <f t="shared" si="3"/>
        <v>175000</v>
      </c>
      <c r="L12" s="1437">
        <f t="shared" si="3"/>
        <v>175000</v>
      </c>
      <c r="M12" s="1437">
        <f t="shared" si="3"/>
        <v>175000</v>
      </c>
      <c r="N12" s="1437">
        <f t="shared" si="3"/>
        <v>175000</v>
      </c>
      <c r="O12" s="1437">
        <f t="shared" si="3"/>
        <v>175000</v>
      </c>
      <c r="P12" s="1437">
        <f t="shared" si="3"/>
        <v>175000</v>
      </c>
      <c r="Q12" s="1437">
        <f>$C12*R4*Q7</f>
        <v>29250000</v>
      </c>
      <c r="R12" s="1437">
        <f>$C12*R4*R7</f>
        <v>29250000</v>
      </c>
      <c r="S12" s="1437">
        <f>$C12*R4*S7</f>
        <v>29250000</v>
      </c>
      <c r="T12" s="1437">
        <f>$C12*R4*T7</f>
        <v>29250000</v>
      </c>
      <c r="U12" s="1437">
        <f>$C12*R4*U7</f>
        <v>29250000</v>
      </c>
      <c r="V12" s="1437">
        <f>$C12*R4*V7</f>
        <v>29250000</v>
      </c>
      <c r="W12" s="1437">
        <f>$C12*R4*W7</f>
        <v>29250000</v>
      </c>
      <c r="X12" s="1437">
        <f>$C12*R4*X7</f>
        <v>29250000</v>
      </c>
      <c r="Y12" s="1437">
        <f>$C12*R4*Y7</f>
        <v>29250000</v>
      </c>
      <c r="Z12" s="1437">
        <f>$C12*R4*Z7</f>
        <v>29250000</v>
      </c>
      <c r="AA12" s="1437">
        <f>$C12*R4*AA7</f>
        <v>29250000</v>
      </c>
      <c r="AB12" s="1437">
        <f>$C12*R4*AB7</f>
        <v>29250000</v>
      </c>
      <c r="AC12" s="1437">
        <f>$C12*AD4*AC7</f>
        <v>32062500</v>
      </c>
      <c r="AD12" s="1437">
        <f>$C12*AD4*AD7</f>
        <v>32062500</v>
      </c>
      <c r="AE12" s="1437">
        <f>$C12*AD4*AE7</f>
        <v>32062500</v>
      </c>
      <c r="AF12" s="1437">
        <f>$C12*AD4*AF7</f>
        <v>32062500</v>
      </c>
      <c r="AG12" s="1437">
        <f>$C12*AD4*AG7</f>
        <v>32062500</v>
      </c>
      <c r="AH12" s="1437">
        <f>$C12*AD4*AH7</f>
        <v>32062500</v>
      </c>
      <c r="AI12" s="1437">
        <f>$C12*AD4*AI7</f>
        <v>32062500</v>
      </c>
      <c r="AJ12" s="1437">
        <f>$C12*AD4*AJ7</f>
        <v>32062500</v>
      </c>
      <c r="AK12" s="1437">
        <f>$C12*AD4*AK7</f>
        <v>32062500</v>
      </c>
      <c r="AL12" s="1437">
        <f>$C12*AD4*AL7</f>
        <v>32062500</v>
      </c>
      <c r="AM12" s="1437">
        <f>$C12*AD4*AM7</f>
        <v>32062500</v>
      </c>
      <c r="AN12" s="1437">
        <f>$C12*AD4*AN7</f>
        <v>32062500</v>
      </c>
      <c r="AO12" s="1437">
        <f>$C12*AP4*AO7</f>
        <v>35000000</v>
      </c>
      <c r="AP12" s="1437">
        <f>$C12*AP4*AP7</f>
        <v>35000000</v>
      </c>
      <c r="AQ12" s="1437">
        <f>$C12*AP4*AQ7</f>
        <v>35000000</v>
      </c>
      <c r="AR12" s="1437">
        <f>$C12*AP4*AR7</f>
        <v>35000000</v>
      </c>
      <c r="AS12" s="1437">
        <f>$C12*AP4*AS7</f>
        <v>35000000</v>
      </c>
      <c r="AT12" s="1437">
        <f>$C12*AP4*AT7</f>
        <v>35000000</v>
      </c>
      <c r="AU12" s="1437">
        <f>$C12*AP4*AU7</f>
        <v>35000000</v>
      </c>
      <c r="AV12" s="1437">
        <f>$C12*AP4*AV7</f>
        <v>35000000</v>
      </c>
      <c r="AW12" s="1437">
        <f>$C12*AP4*AW7</f>
        <v>35000000</v>
      </c>
      <c r="AX12" s="1437">
        <f>$C12*AP4*AX7</f>
        <v>35000000</v>
      </c>
      <c r="AY12" s="1437">
        <f>$C12*AP4*AY7</f>
        <v>35000000</v>
      </c>
      <c r="AZ12" s="1437">
        <f>$C12*AP4*AZ7</f>
        <v>35000000</v>
      </c>
      <c r="BA12" s="1437">
        <f>$C12*BB4*BA7</f>
        <v>38062500</v>
      </c>
      <c r="BB12" s="1437">
        <f>$C12*BB4*BB7</f>
        <v>38062500</v>
      </c>
      <c r="BC12" s="1437">
        <f>$C12*BB4*BC7</f>
        <v>38062500</v>
      </c>
      <c r="BD12" s="1437">
        <f>$C12*BB4*BD7</f>
        <v>38062500</v>
      </c>
      <c r="BE12" s="1437">
        <f>$C12*BB4*BE7</f>
        <v>38062500</v>
      </c>
      <c r="BF12" s="1437">
        <f>$C12*BB4*BF7</f>
        <v>38062500</v>
      </c>
      <c r="BG12" s="1437">
        <f>$C12*BB4*BG7</f>
        <v>38062500</v>
      </c>
      <c r="BH12" s="1437">
        <f>$C12*BB4*BH7</f>
        <v>38062500</v>
      </c>
      <c r="BI12" s="1437">
        <f>$C12*BB4*BI7</f>
        <v>38062500</v>
      </c>
      <c r="BJ12" s="1437">
        <f>$C12*BB4*BJ7</f>
        <v>38062500</v>
      </c>
      <c r="BK12" s="1437">
        <f>$C12*BB4*BK7</f>
        <v>38062500</v>
      </c>
      <c r="BL12" s="1437">
        <f>$C12*BB4*BL7</f>
        <v>38062500</v>
      </c>
    </row>
    <row r="13" spans="1:64" ht="15" customHeight="1">
      <c r="B13" s="1438" t="s">
        <v>1359</v>
      </c>
      <c r="C13" s="465">
        <v>0.7</v>
      </c>
      <c r="D13" s="1439"/>
      <c r="E13" s="1440"/>
      <c r="F13" s="1440"/>
      <c r="G13" s="1440"/>
      <c r="H13" s="1440">
        <f t="shared" ref="H13:P13" si="4">$C$13*$C$9*H7</f>
        <v>408333.33333333337</v>
      </c>
      <c r="I13" s="1440">
        <f t="shared" si="4"/>
        <v>408333.33333333337</v>
      </c>
      <c r="J13" s="1440">
        <f t="shared" si="4"/>
        <v>408333.33333333337</v>
      </c>
      <c r="K13" s="1440">
        <f t="shared" si="4"/>
        <v>408333.33333333337</v>
      </c>
      <c r="L13" s="1440">
        <f t="shared" si="4"/>
        <v>408333.33333333337</v>
      </c>
      <c r="M13" s="1440">
        <f t="shared" si="4"/>
        <v>408333.33333333337</v>
      </c>
      <c r="N13" s="1440">
        <f t="shared" si="4"/>
        <v>408333.33333333337</v>
      </c>
      <c r="O13" s="1440">
        <f t="shared" si="4"/>
        <v>408333.33333333337</v>
      </c>
      <c r="P13" s="1440">
        <f t="shared" si="4"/>
        <v>408333.33333333337</v>
      </c>
      <c r="Q13" s="1440">
        <f>$C$13*R4*Q7</f>
        <v>68250000</v>
      </c>
      <c r="R13" s="1440">
        <f>$C$13*R4*R7</f>
        <v>68250000</v>
      </c>
      <c r="S13" s="1440">
        <f>$C$13*R4*S7</f>
        <v>68250000</v>
      </c>
      <c r="T13" s="1440">
        <f>$C$13*R4*T7</f>
        <v>68250000</v>
      </c>
      <c r="U13" s="1440">
        <f>$C$13*R4*U7</f>
        <v>68250000</v>
      </c>
      <c r="V13" s="1440">
        <f>$C$13*R4*V7</f>
        <v>68250000</v>
      </c>
      <c r="W13" s="1440">
        <f>$C$13*R4*W7</f>
        <v>68250000</v>
      </c>
      <c r="X13" s="1440">
        <f>$C$13*R4*X7</f>
        <v>68250000</v>
      </c>
      <c r="Y13" s="1440">
        <f>$C$13*R4*Y7</f>
        <v>68250000</v>
      </c>
      <c r="Z13" s="1440">
        <f>$C$13*R4*Z7</f>
        <v>68250000</v>
      </c>
      <c r="AA13" s="1440">
        <f>$C$13*R4*AA7</f>
        <v>68250000</v>
      </c>
      <c r="AB13" s="1440">
        <f>$C$13*R4*AB7</f>
        <v>68250000</v>
      </c>
      <c r="AC13" s="1440">
        <f>$C$13*AD4*AC7</f>
        <v>74812500</v>
      </c>
      <c r="AD13" s="1440">
        <f>$C$13*AD4*AD7</f>
        <v>74812500</v>
      </c>
      <c r="AE13" s="1440">
        <f>$C$13*AD4*AE7</f>
        <v>74812500</v>
      </c>
      <c r="AF13" s="1440">
        <f>$C$13*AD4*AF7</f>
        <v>74812500</v>
      </c>
      <c r="AG13" s="1440">
        <f>$C$13*AD4*AG7</f>
        <v>74812500</v>
      </c>
      <c r="AH13" s="1440">
        <f>$C$13*AD4*AH7</f>
        <v>74812500</v>
      </c>
      <c r="AI13" s="1440">
        <f>$C$13*AD4*AI7</f>
        <v>74812500</v>
      </c>
      <c r="AJ13" s="1440">
        <f>$C$13*AD4*AJ7</f>
        <v>74812500</v>
      </c>
      <c r="AK13" s="1440">
        <f>$C$13*AD4*AK7</f>
        <v>74812500</v>
      </c>
      <c r="AL13" s="1440">
        <f>$C$13*AD4*AL7</f>
        <v>74812500</v>
      </c>
      <c r="AM13" s="1440">
        <f>$C$13*AD4*AM7</f>
        <v>74812500</v>
      </c>
      <c r="AN13" s="1440">
        <f>$C$13*AD4*AN7</f>
        <v>74812500</v>
      </c>
      <c r="AO13" s="1440">
        <f>$C$13*AP4*AO7</f>
        <v>81666666.666666657</v>
      </c>
      <c r="AP13" s="1440">
        <f>$C$13*AP4*AP7</f>
        <v>81666666.666666657</v>
      </c>
      <c r="AQ13" s="1440">
        <f>$C$13*AP4*AQ7</f>
        <v>81666666.666666657</v>
      </c>
      <c r="AR13" s="1440">
        <f>$C$13*AP4*AR7</f>
        <v>81666666.666666657</v>
      </c>
      <c r="AS13" s="1440">
        <f>$C$13*AP4*AS7</f>
        <v>81666666.666666657</v>
      </c>
      <c r="AT13" s="1440">
        <f>$C$13*AP4*AT7</f>
        <v>81666666.666666657</v>
      </c>
      <c r="AU13" s="1440">
        <f>$C$13*AP4*AU7</f>
        <v>81666666.666666657</v>
      </c>
      <c r="AV13" s="1440">
        <f>$C$13*AP4*AV7</f>
        <v>81666666.666666657</v>
      </c>
      <c r="AW13" s="1440">
        <f>$C$13*AP4*AW7</f>
        <v>81666666.666666657</v>
      </c>
      <c r="AX13" s="1440">
        <f>$C$13*AP4*AX7</f>
        <v>81666666.666666657</v>
      </c>
      <c r="AY13" s="1440">
        <f>$C$13*AP4*AY7</f>
        <v>81666666.666666657</v>
      </c>
      <c r="AZ13" s="1440">
        <f>$C$13*AP4*AZ7</f>
        <v>81666666.666666657</v>
      </c>
      <c r="BA13" s="1440">
        <f>$C$13*BB4*BA7</f>
        <v>88812500</v>
      </c>
      <c r="BB13" s="1440">
        <f>$C$13*BB4*BB7</f>
        <v>88812500</v>
      </c>
      <c r="BC13" s="1440">
        <f>$C$13*BB4*BC7</f>
        <v>88812500</v>
      </c>
      <c r="BD13" s="1440">
        <f>$C$13*BB4*BD7</f>
        <v>88812500</v>
      </c>
      <c r="BE13" s="1440">
        <f>$C$13*BB4*BE7</f>
        <v>88812500</v>
      </c>
      <c r="BF13" s="1440">
        <f>$C$13*BB4*BF7</f>
        <v>88812500</v>
      </c>
      <c r="BG13" s="1440">
        <f>$C$13*BB4*BG7</f>
        <v>88812500</v>
      </c>
      <c r="BH13" s="1440">
        <f>$C$13*BB4*BH7</f>
        <v>88812500</v>
      </c>
      <c r="BI13" s="1440">
        <f>$C$13*BB4*BI7</f>
        <v>88812500</v>
      </c>
      <c r="BJ13" s="1440">
        <f>$C$13*BB4*BJ7</f>
        <v>88812500</v>
      </c>
      <c r="BK13" s="1440">
        <f>$C$13*BB4*BK7</f>
        <v>88812500</v>
      </c>
      <c r="BL13" s="1440">
        <f>$C$13*BB4*BL7</f>
        <v>88812500</v>
      </c>
    </row>
    <row r="14" spans="1:64" ht="15" customHeight="1">
      <c r="B14" s="1436"/>
      <c r="C14" s="468">
        <f>SUM(C10:C13)</f>
        <v>1</v>
      </c>
      <c r="D14" s="1410"/>
      <c r="E14" s="1437">
        <f t="shared" ref="E14:AB14" si="5">SUM(E10:E13)</f>
        <v>0</v>
      </c>
      <c r="F14" s="1437">
        <f t="shared" si="5"/>
        <v>0</v>
      </c>
      <c r="G14" s="1437">
        <f t="shared" si="5"/>
        <v>175000</v>
      </c>
      <c r="H14" s="1437">
        <f t="shared" si="5"/>
        <v>583333.33333333337</v>
      </c>
      <c r="I14" s="1437">
        <f t="shared" si="5"/>
        <v>583333.33333333337</v>
      </c>
      <c r="J14" s="1437">
        <f t="shared" si="5"/>
        <v>583333.33333333337</v>
      </c>
      <c r="K14" s="1437">
        <f t="shared" si="5"/>
        <v>583333.33333333337</v>
      </c>
      <c r="L14" s="1437">
        <f t="shared" si="5"/>
        <v>583333.33333333337</v>
      </c>
      <c r="M14" s="1437">
        <f t="shared" si="5"/>
        <v>583333.33333333337</v>
      </c>
      <c r="N14" s="1437">
        <f t="shared" si="5"/>
        <v>583333.33333333337</v>
      </c>
      <c r="O14" s="1437">
        <f t="shared" si="5"/>
        <v>583333.33333333337</v>
      </c>
      <c r="P14" s="1437">
        <f t="shared" si="5"/>
        <v>583333.33333333337</v>
      </c>
      <c r="Q14" s="1437">
        <f t="shared" si="5"/>
        <v>97500000</v>
      </c>
      <c r="R14" s="1437">
        <f t="shared" si="5"/>
        <v>97500000</v>
      </c>
      <c r="S14" s="1437">
        <f t="shared" si="5"/>
        <v>97500000</v>
      </c>
      <c r="T14" s="1437">
        <f t="shared" si="5"/>
        <v>97500000</v>
      </c>
      <c r="U14" s="1437">
        <f t="shared" si="5"/>
        <v>97500000</v>
      </c>
      <c r="V14" s="1437">
        <f t="shared" si="5"/>
        <v>97500000</v>
      </c>
      <c r="W14" s="1437">
        <f t="shared" si="5"/>
        <v>97500000</v>
      </c>
      <c r="X14" s="1437">
        <f t="shared" si="5"/>
        <v>97500000</v>
      </c>
      <c r="Y14" s="1437">
        <f t="shared" si="5"/>
        <v>97500000</v>
      </c>
      <c r="Z14" s="1437">
        <f t="shared" si="5"/>
        <v>97500000</v>
      </c>
      <c r="AA14" s="1437">
        <f t="shared" si="5"/>
        <v>97500000</v>
      </c>
      <c r="AB14" s="1437">
        <f t="shared" si="5"/>
        <v>97500000</v>
      </c>
      <c r="AC14" s="1437">
        <f>SUM(AC10:AC13)</f>
        <v>106875000</v>
      </c>
      <c r="AD14" s="1437">
        <f t="shared" ref="AD14:BL14" si="6">SUM(AD10:AD13)</f>
        <v>106875000</v>
      </c>
      <c r="AE14" s="1437">
        <f t="shared" si="6"/>
        <v>106875000</v>
      </c>
      <c r="AF14" s="1437">
        <f t="shared" si="6"/>
        <v>106875000</v>
      </c>
      <c r="AG14" s="1437">
        <f t="shared" si="6"/>
        <v>106875000</v>
      </c>
      <c r="AH14" s="1437">
        <f t="shared" si="6"/>
        <v>106875000</v>
      </c>
      <c r="AI14" s="1437">
        <f t="shared" si="6"/>
        <v>106875000</v>
      </c>
      <c r="AJ14" s="1437">
        <f t="shared" si="6"/>
        <v>106875000</v>
      </c>
      <c r="AK14" s="1437">
        <f t="shared" si="6"/>
        <v>106875000</v>
      </c>
      <c r="AL14" s="1437">
        <f t="shared" si="6"/>
        <v>106875000</v>
      </c>
      <c r="AM14" s="1437">
        <f t="shared" si="6"/>
        <v>106875000</v>
      </c>
      <c r="AN14" s="1437">
        <f t="shared" si="6"/>
        <v>106875000</v>
      </c>
      <c r="AO14" s="1437">
        <f t="shared" si="6"/>
        <v>116666666.66666666</v>
      </c>
      <c r="AP14" s="1437">
        <f t="shared" si="6"/>
        <v>116666666.66666666</v>
      </c>
      <c r="AQ14" s="1437">
        <f t="shared" si="6"/>
        <v>116666666.66666666</v>
      </c>
      <c r="AR14" s="1437">
        <f t="shared" si="6"/>
        <v>116666666.66666666</v>
      </c>
      <c r="AS14" s="1437">
        <f t="shared" si="6"/>
        <v>116666666.66666666</v>
      </c>
      <c r="AT14" s="1437">
        <f t="shared" si="6"/>
        <v>116666666.66666666</v>
      </c>
      <c r="AU14" s="1437">
        <f t="shared" si="6"/>
        <v>116666666.66666666</v>
      </c>
      <c r="AV14" s="1437">
        <f t="shared" si="6"/>
        <v>116666666.66666666</v>
      </c>
      <c r="AW14" s="1437">
        <f t="shared" si="6"/>
        <v>116666666.66666666</v>
      </c>
      <c r="AX14" s="1437">
        <f t="shared" si="6"/>
        <v>116666666.66666666</v>
      </c>
      <c r="AY14" s="1437">
        <f t="shared" si="6"/>
        <v>116666666.66666666</v>
      </c>
      <c r="AZ14" s="1437">
        <f t="shared" si="6"/>
        <v>116666666.66666666</v>
      </c>
      <c r="BA14" s="1437">
        <f t="shared" si="6"/>
        <v>126875000</v>
      </c>
      <c r="BB14" s="1437">
        <f t="shared" si="6"/>
        <v>126875000</v>
      </c>
      <c r="BC14" s="1437">
        <f t="shared" si="6"/>
        <v>126875000</v>
      </c>
      <c r="BD14" s="1437">
        <f t="shared" si="6"/>
        <v>126875000</v>
      </c>
      <c r="BE14" s="1437">
        <f t="shared" si="6"/>
        <v>126875000</v>
      </c>
      <c r="BF14" s="1437">
        <f t="shared" si="6"/>
        <v>126875000</v>
      </c>
      <c r="BG14" s="1437">
        <f t="shared" si="6"/>
        <v>126875000</v>
      </c>
      <c r="BH14" s="1437">
        <f t="shared" si="6"/>
        <v>126875000</v>
      </c>
      <c r="BI14" s="1437">
        <f t="shared" si="6"/>
        <v>126875000</v>
      </c>
      <c r="BJ14" s="1437">
        <f t="shared" si="6"/>
        <v>126875000</v>
      </c>
      <c r="BK14" s="1437">
        <f t="shared" si="6"/>
        <v>126875000</v>
      </c>
      <c r="BL14" s="1437">
        <f t="shared" si="6"/>
        <v>126875000</v>
      </c>
    </row>
    <row r="15" spans="1:64" ht="15" customHeight="1">
      <c r="B15" s="1429" t="s">
        <v>639</v>
      </c>
      <c r="C15" s="1410"/>
      <c r="D15" s="1410"/>
      <c r="E15" s="1410"/>
      <c r="F15" s="1410"/>
      <c r="G15" s="1410"/>
      <c r="H15" s="1410"/>
      <c r="J15" s="1334"/>
      <c r="K15" s="1334"/>
      <c r="L15" s="1334"/>
      <c r="M15" s="1334"/>
      <c r="N15" s="1334"/>
      <c r="Q15" s="1410"/>
      <c r="R15" s="1410"/>
      <c r="S15" s="1410"/>
      <c r="T15" s="1410"/>
      <c r="V15" s="1334"/>
      <c r="W15" s="1334"/>
      <c r="X15" s="1334"/>
      <c r="Y15" s="1334"/>
      <c r="Z15" s="1334"/>
      <c r="AC15" s="1410"/>
      <c r="AD15" s="1410"/>
      <c r="AE15" s="1410"/>
      <c r="AF15" s="1410"/>
      <c r="AH15" s="1334"/>
      <c r="AI15" s="1334"/>
      <c r="AJ15" s="1334"/>
      <c r="AK15" s="1334"/>
      <c r="AL15" s="1334"/>
      <c r="AO15" s="1410"/>
      <c r="AP15" s="1410"/>
      <c r="AQ15" s="1410"/>
      <c r="AR15" s="1410"/>
      <c r="AT15" s="1334"/>
      <c r="AU15" s="1334"/>
      <c r="AV15" s="1334"/>
      <c r="AW15" s="1334"/>
      <c r="AX15" s="1334"/>
      <c r="BA15" s="1410"/>
      <c r="BB15" s="1410"/>
      <c r="BC15" s="1410"/>
      <c r="BD15" s="1410"/>
      <c r="BF15" s="1334"/>
      <c r="BG15" s="1334"/>
      <c r="BH15" s="1334"/>
      <c r="BI15" s="1334"/>
      <c r="BJ15" s="1334"/>
    </row>
    <row r="16" spans="1:64" ht="15" customHeight="1">
      <c r="B16" s="1410" t="s">
        <v>640</v>
      </c>
      <c r="C16" s="470">
        <v>0</v>
      </c>
      <c r="D16" s="1410"/>
      <c r="E16" s="1441">
        <f>-E14*$C$16</f>
        <v>0</v>
      </c>
      <c r="F16" s="1441">
        <f t="shared" ref="F16:P16" si="7">-F14*$C$16</f>
        <v>0</v>
      </c>
      <c r="G16" s="1441">
        <f t="shared" si="7"/>
        <v>0</v>
      </c>
      <c r="H16" s="1441">
        <f t="shared" si="7"/>
        <v>0</v>
      </c>
      <c r="I16" s="1441">
        <f t="shared" si="7"/>
        <v>0</v>
      </c>
      <c r="J16" s="1441">
        <f t="shared" si="7"/>
        <v>0</v>
      </c>
      <c r="K16" s="1441">
        <f t="shared" si="7"/>
        <v>0</v>
      </c>
      <c r="L16" s="1441">
        <f t="shared" si="7"/>
        <v>0</v>
      </c>
      <c r="M16" s="1441">
        <f t="shared" si="7"/>
        <v>0</v>
      </c>
      <c r="N16" s="1441">
        <f t="shared" si="7"/>
        <v>0</v>
      </c>
      <c r="O16" s="1441">
        <f t="shared" si="7"/>
        <v>0</v>
      </c>
      <c r="P16" s="1441">
        <f t="shared" si="7"/>
        <v>0</v>
      </c>
      <c r="Q16" s="1441">
        <f>-Q14*$C$16</f>
        <v>0</v>
      </c>
      <c r="R16" s="1441">
        <f t="shared" ref="R16:AB16" si="8">-R14*$C$16</f>
        <v>0</v>
      </c>
      <c r="S16" s="1441">
        <f t="shared" si="8"/>
        <v>0</v>
      </c>
      <c r="T16" s="1441">
        <f t="shared" si="8"/>
        <v>0</v>
      </c>
      <c r="U16" s="1441">
        <f t="shared" si="8"/>
        <v>0</v>
      </c>
      <c r="V16" s="1441">
        <f t="shared" si="8"/>
        <v>0</v>
      </c>
      <c r="W16" s="1441">
        <f t="shared" si="8"/>
        <v>0</v>
      </c>
      <c r="X16" s="1441">
        <f t="shared" si="8"/>
        <v>0</v>
      </c>
      <c r="Y16" s="1441">
        <f t="shared" si="8"/>
        <v>0</v>
      </c>
      <c r="Z16" s="1441">
        <f t="shared" si="8"/>
        <v>0</v>
      </c>
      <c r="AA16" s="1441">
        <f t="shared" si="8"/>
        <v>0</v>
      </c>
      <c r="AB16" s="1441">
        <f t="shared" si="8"/>
        <v>0</v>
      </c>
      <c r="AC16" s="1441">
        <f>-AC14*$C$16</f>
        <v>0</v>
      </c>
      <c r="AD16" s="1441">
        <f t="shared" ref="AD16:AN16" si="9">-AD14*$C$16</f>
        <v>0</v>
      </c>
      <c r="AE16" s="1441">
        <f t="shared" si="9"/>
        <v>0</v>
      </c>
      <c r="AF16" s="1441">
        <f t="shared" si="9"/>
        <v>0</v>
      </c>
      <c r="AG16" s="1441">
        <f t="shared" si="9"/>
        <v>0</v>
      </c>
      <c r="AH16" s="1441">
        <f t="shared" si="9"/>
        <v>0</v>
      </c>
      <c r="AI16" s="1441">
        <f t="shared" si="9"/>
        <v>0</v>
      </c>
      <c r="AJ16" s="1441">
        <f t="shared" si="9"/>
        <v>0</v>
      </c>
      <c r="AK16" s="1441">
        <f t="shared" si="9"/>
        <v>0</v>
      </c>
      <c r="AL16" s="1441">
        <f t="shared" si="9"/>
        <v>0</v>
      </c>
      <c r="AM16" s="1441">
        <f t="shared" si="9"/>
        <v>0</v>
      </c>
      <c r="AN16" s="1441">
        <f t="shared" si="9"/>
        <v>0</v>
      </c>
      <c r="AO16" s="1441">
        <f>-AO14*$C$16</f>
        <v>0</v>
      </c>
      <c r="AP16" s="1441">
        <f t="shared" ref="AP16:AY16" si="10">-AP14*$C$16</f>
        <v>0</v>
      </c>
      <c r="AQ16" s="1441">
        <f t="shared" si="10"/>
        <v>0</v>
      </c>
      <c r="AR16" s="1441">
        <f t="shared" si="10"/>
        <v>0</v>
      </c>
      <c r="AS16" s="1441">
        <f t="shared" si="10"/>
        <v>0</v>
      </c>
      <c r="AT16" s="1441">
        <f t="shared" si="10"/>
        <v>0</v>
      </c>
      <c r="AU16" s="1441">
        <f t="shared" si="10"/>
        <v>0</v>
      </c>
      <c r="AV16" s="1441">
        <f t="shared" si="10"/>
        <v>0</v>
      </c>
      <c r="AW16" s="1441">
        <f t="shared" si="10"/>
        <v>0</v>
      </c>
      <c r="AX16" s="1441">
        <f t="shared" si="10"/>
        <v>0</v>
      </c>
      <c r="AY16" s="1441">
        <f t="shared" si="10"/>
        <v>0</v>
      </c>
      <c r="AZ16" s="1441">
        <f>-AZ14*$C$16</f>
        <v>0</v>
      </c>
      <c r="BA16" s="1441">
        <f t="shared" ref="BA16:BL16" si="11">-BA14*$C$16</f>
        <v>0</v>
      </c>
      <c r="BB16" s="1441">
        <f t="shared" si="11"/>
        <v>0</v>
      </c>
      <c r="BC16" s="1441">
        <f t="shared" si="11"/>
        <v>0</v>
      </c>
      <c r="BD16" s="1441">
        <f t="shared" si="11"/>
        <v>0</v>
      </c>
      <c r="BE16" s="1441">
        <f t="shared" si="11"/>
        <v>0</v>
      </c>
      <c r="BF16" s="1441">
        <f t="shared" si="11"/>
        <v>0</v>
      </c>
      <c r="BG16" s="1441">
        <f t="shared" si="11"/>
        <v>0</v>
      </c>
      <c r="BH16" s="1441">
        <f t="shared" si="11"/>
        <v>0</v>
      </c>
      <c r="BI16" s="1441">
        <f t="shared" si="11"/>
        <v>0</v>
      </c>
      <c r="BJ16" s="1441">
        <f t="shared" si="11"/>
        <v>0</v>
      </c>
      <c r="BK16" s="1441">
        <f t="shared" si="11"/>
        <v>0</v>
      </c>
      <c r="BL16" s="1441">
        <f t="shared" si="11"/>
        <v>0</v>
      </c>
    </row>
    <row r="17" spans="2:64" ht="15" customHeight="1">
      <c r="B17" s="1442" t="s">
        <v>640</v>
      </c>
      <c r="C17" s="1443">
        <v>0</v>
      </c>
      <c r="D17" s="1442"/>
      <c r="E17" s="1444">
        <f>-E14*$C$17</f>
        <v>0</v>
      </c>
      <c r="F17" s="1444">
        <f>-F14*$C$17</f>
        <v>0</v>
      </c>
      <c r="G17" s="1444">
        <f t="shared" ref="G17:P17" si="12">-G14*$C$17</f>
        <v>0</v>
      </c>
      <c r="H17" s="1444">
        <f t="shared" si="12"/>
        <v>0</v>
      </c>
      <c r="I17" s="1444">
        <f t="shared" si="12"/>
        <v>0</v>
      </c>
      <c r="J17" s="1444">
        <f t="shared" si="12"/>
        <v>0</v>
      </c>
      <c r="K17" s="1444">
        <f t="shared" si="12"/>
        <v>0</v>
      </c>
      <c r="L17" s="1444">
        <f t="shared" si="12"/>
        <v>0</v>
      </c>
      <c r="M17" s="1444">
        <f t="shared" si="12"/>
        <v>0</v>
      </c>
      <c r="N17" s="1444">
        <f t="shared" si="12"/>
        <v>0</v>
      </c>
      <c r="O17" s="1444">
        <f t="shared" si="12"/>
        <v>0</v>
      </c>
      <c r="P17" s="1444">
        <f t="shared" si="12"/>
        <v>0</v>
      </c>
      <c r="Q17" s="1444">
        <f>-Q14*$C$17</f>
        <v>0</v>
      </c>
      <c r="R17" s="1444">
        <f t="shared" ref="R17:AB17" si="13">-R14*$C$17</f>
        <v>0</v>
      </c>
      <c r="S17" s="1444">
        <f t="shared" si="13"/>
        <v>0</v>
      </c>
      <c r="T17" s="1444">
        <f t="shared" si="13"/>
        <v>0</v>
      </c>
      <c r="U17" s="1444">
        <f t="shared" si="13"/>
        <v>0</v>
      </c>
      <c r="V17" s="1444">
        <f t="shared" si="13"/>
        <v>0</v>
      </c>
      <c r="W17" s="1444">
        <f t="shared" si="13"/>
        <v>0</v>
      </c>
      <c r="X17" s="1444">
        <f t="shared" si="13"/>
        <v>0</v>
      </c>
      <c r="Y17" s="1444">
        <f t="shared" si="13"/>
        <v>0</v>
      </c>
      <c r="Z17" s="1444">
        <f t="shared" si="13"/>
        <v>0</v>
      </c>
      <c r="AA17" s="1444">
        <f t="shared" si="13"/>
        <v>0</v>
      </c>
      <c r="AB17" s="1444">
        <f t="shared" si="13"/>
        <v>0</v>
      </c>
      <c r="AC17" s="1444">
        <f>-AC14*$C$17</f>
        <v>0</v>
      </c>
      <c r="AD17" s="1444">
        <f t="shared" ref="AD17:AN17" si="14">-AD14*$C$17</f>
        <v>0</v>
      </c>
      <c r="AE17" s="1444">
        <f t="shared" si="14"/>
        <v>0</v>
      </c>
      <c r="AF17" s="1444">
        <f t="shared" si="14"/>
        <v>0</v>
      </c>
      <c r="AG17" s="1444">
        <f t="shared" si="14"/>
        <v>0</v>
      </c>
      <c r="AH17" s="1444">
        <f t="shared" si="14"/>
        <v>0</v>
      </c>
      <c r="AI17" s="1444">
        <f t="shared" si="14"/>
        <v>0</v>
      </c>
      <c r="AJ17" s="1444">
        <f t="shared" si="14"/>
        <v>0</v>
      </c>
      <c r="AK17" s="1444">
        <f t="shared" si="14"/>
        <v>0</v>
      </c>
      <c r="AL17" s="1444">
        <f t="shared" si="14"/>
        <v>0</v>
      </c>
      <c r="AM17" s="1444">
        <f t="shared" si="14"/>
        <v>0</v>
      </c>
      <c r="AN17" s="1444">
        <f t="shared" si="14"/>
        <v>0</v>
      </c>
      <c r="AO17" s="1444">
        <f>-AO14*$C$17</f>
        <v>0</v>
      </c>
      <c r="AP17" s="1444">
        <f t="shared" ref="AP17:BL17" si="15">-AP14*$C$17</f>
        <v>0</v>
      </c>
      <c r="AQ17" s="1444">
        <f t="shared" si="15"/>
        <v>0</v>
      </c>
      <c r="AR17" s="1444">
        <f t="shared" si="15"/>
        <v>0</v>
      </c>
      <c r="AS17" s="1444">
        <f t="shared" si="15"/>
        <v>0</v>
      </c>
      <c r="AT17" s="1444">
        <f t="shared" si="15"/>
        <v>0</v>
      </c>
      <c r="AU17" s="1444">
        <f t="shared" si="15"/>
        <v>0</v>
      </c>
      <c r="AV17" s="1444">
        <f t="shared" si="15"/>
        <v>0</v>
      </c>
      <c r="AW17" s="1444">
        <f t="shared" si="15"/>
        <v>0</v>
      </c>
      <c r="AX17" s="1444">
        <f t="shared" si="15"/>
        <v>0</v>
      </c>
      <c r="AY17" s="1444">
        <f t="shared" si="15"/>
        <v>0</v>
      </c>
      <c r="AZ17" s="1444">
        <f t="shared" si="15"/>
        <v>0</v>
      </c>
      <c r="BA17" s="1444">
        <f t="shared" si="15"/>
        <v>0</v>
      </c>
      <c r="BB17" s="1444">
        <f t="shared" si="15"/>
        <v>0</v>
      </c>
      <c r="BC17" s="1444">
        <f t="shared" si="15"/>
        <v>0</v>
      </c>
      <c r="BD17" s="1444">
        <f t="shared" si="15"/>
        <v>0</v>
      </c>
      <c r="BE17" s="1444">
        <f t="shared" si="15"/>
        <v>0</v>
      </c>
      <c r="BF17" s="1444">
        <f t="shared" si="15"/>
        <v>0</v>
      </c>
      <c r="BG17" s="1444">
        <f t="shared" si="15"/>
        <v>0</v>
      </c>
      <c r="BH17" s="1444">
        <f t="shared" si="15"/>
        <v>0</v>
      </c>
      <c r="BI17" s="1444">
        <f t="shared" si="15"/>
        <v>0</v>
      </c>
      <c r="BJ17" s="1444">
        <f t="shared" si="15"/>
        <v>0</v>
      </c>
      <c r="BK17" s="1444">
        <f t="shared" si="15"/>
        <v>0</v>
      </c>
      <c r="BL17" s="1444">
        <f t="shared" si="15"/>
        <v>0</v>
      </c>
    </row>
    <row r="18" spans="2:64" ht="15" customHeight="1">
      <c r="B18" s="1410"/>
      <c r="C18" s="1410"/>
      <c r="D18" s="1410"/>
      <c r="E18" s="1437">
        <f>SUM(E14:E17)</f>
        <v>0</v>
      </c>
      <c r="F18" s="1437">
        <f t="shared" ref="F18:P18" si="16">SUM(F14:F17)</f>
        <v>0</v>
      </c>
      <c r="G18" s="1437">
        <f t="shared" si="16"/>
        <v>175000</v>
      </c>
      <c r="H18" s="1437">
        <f t="shared" si="16"/>
        <v>583333.33333333337</v>
      </c>
      <c r="I18" s="1437">
        <f t="shared" si="16"/>
        <v>583333.33333333337</v>
      </c>
      <c r="J18" s="1437">
        <f t="shared" si="16"/>
        <v>583333.33333333337</v>
      </c>
      <c r="K18" s="1437">
        <f t="shared" si="16"/>
        <v>583333.33333333337</v>
      </c>
      <c r="L18" s="1437">
        <f t="shared" si="16"/>
        <v>583333.33333333337</v>
      </c>
      <c r="M18" s="1437">
        <f t="shared" si="16"/>
        <v>583333.33333333337</v>
      </c>
      <c r="N18" s="1437">
        <f t="shared" si="16"/>
        <v>583333.33333333337</v>
      </c>
      <c r="O18" s="1437">
        <f t="shared" si="16"/>
        <v>583333.33333333337</v>
      </c>
      <c r="P18" s="1437">
        <f t="shared" si="16"/>
        <v>583333.33333333337</v>
      </c>
      <c r="Q18" s="1437">
        <f>SUM(Q14:Q17)</f>
        <v>97500000</v>
      </c>
      <c r="R18" s="1437">
        <f t="shared" ref="R18:BL18" si="17">SUM(R14:R17)</f>
        <v>97500000</v>
      </c>
      <c r="S18" s="1437">
        <f t="shared" si="17"/>
        <v>97500000</v>
      </c>
      <c r="T18" s="1437">
        <f t="shared" si="17"/>
        <v>97500000</v>
      </c>
      <c r="U18" s="1437">
        <f t="shared" si="17"/>
        <v>97500000</v>
      </c>
      <c r="V18" s="1437">
        <f t="shared" si="17"/>
        <v>97500000</v>
      </c>
      <c r="W18" s="1437">
        <f t="shared" si="17"/>
        <v>97500000</v>
      </c>
      <c r="X18" s="1437">
        <f t="shared" si="17"/>
        <v>97500000</v>
      </c>
      <c r="Y18" s="1437">
        <f t="shared" si="17"/>
        <v>97500000</v>
      </c>
      <c r="Z18" s="1437">
        <f t="shared" si="17"/>
        <v>97500000</v>
      </c>
      <c r="AA18" s="1437">
        <f t="shared" si="17"/>
        <v>97500000</v>
      </c>
      <c r="AB18" s="1437">
        <f t="shared" si="17"/>
        <v>97500000</v>
      </c>
      <c r="AC18" s="1437">
        <f t="shared" si="17"/>
        <v>106875000</v>
      </c>
      <c r="AD18" s="1437">
        <f t="shared" si="17"/>
        <v>106875000</v>
      </c>
      <c r="AE18" s="1437">
        <f t="shared" si="17"/>
        <v>106875000</v>
      </c>
      <c r="AF18" s="1437">
        <f t="shared" si="17"/>
        <v>106875000</v>
      </c>
      <c r="AG18" s="1437">
        <f t="shared" si="17"/>
        <v>106875000</v>
      </c>
      <c r="AH18" s="1437">
        <f t="shared" si="17"/>
        <v>106875000</v>
      </c>
      <c r="AI18" s="1437">
        <f t="shared" si="17"/>
        <v>106875000</v>
      </c>
      <c r="AJ18" s="1437">
        <f t="shared" si="17"/>
        <v>106875000</v>
      </c>
      <c r="AK18" s="1437">
        <f t="shared" si="17"/>
        <v>106875000</v>
      </c>
      <c r="AL18" s="1437">
        <f t="shared" si="17"/>
        <v>106875000</v>
      </c>
      <c r="AM18" s="1437">
        <f t="shared" si="17"/>
        <v>106875000</v>
      </c>
      <c r="AN18" s="1437">
        <f t="shared" si="17"/>
        <v>106875000</v>
      </c>
      <c r="AO18" s="1437">
        <f t="shared" si="17"/>
        <v>116666666.66666666</v>
      </c>
      <c r="AP18" s="1437">
        <f t="shared" si="17"/>
        <v>116666666.66666666</v>
      </c>
      <c r="AQ18" s="1437">
        <f t="shared" si="17"/>
        <v>116666666.66666666</v>
      </c>
      <c r="AR18" s="1437">
        <f t="shared" si="17"/>
        <v>116666666.66666666</v>
      </c>
      <c r="AS18" s="1437">
        <f t="shared" si="17"/>
        <v>116666666.66666666</v>
      </c>
      <c r="AT18" s="1437">
        <f t="shared" si="17"/>
        <v>116666666.66666666</v>
      </c>
      <c r="AU18" s="1437">
        <f t="shared" si="17"/>
        <v>116666666.66666666</v>
      </c>
      <c r="AV18" s="1437">
        <f t="shared" si="17"/>
        <v>116666666.66666666</v>
      </c>
      <c r="AW18" s="1437">
        <f t="shared" si="17"/>
        <v>116666666.66666666</v>
      </c>
      <c r="AX18" s="1437">
        <f t="shared" si="17"/>
        <v>116666666.66666666</v>
      </c>
      <c r="AY18" s="1437">
        <f t="shared" si="17"/>
        <v>116666666.66666666</v>
      </c>
      <c r="AZ18" s="1437">
        <f t="shared" si="17"/>
        <v>116666666.66666666</v>
      </c>
      <c r="BA18" s="1437">
        <f t="shared" si="17"/>
        <v>126875000</v>
      </c>
      <c r="BB18" s="1437">
        <f t="shared" si="17"/>
        <v>126875000</v>
      </c>
      <c r="BC18" s="1437">
        <f t="shared" si="17"/>
        <v>126875000</v>
      </c>
      <c r="BD18" s="1437">
        <f t="shared" si="17"/>
        <v>126875000</v>
      </c>
      <c r="BE18" s="1437">
        <f t="shared" si="17"/>
        <v>126875000</v>
      </c>
      <c r="BF18" s="1437">
        <f t="shared" si="17"/>
        <v>126875000</v>
      </c>
      <c r="BG18" s="1437">
        <f t="shared" si="17"/>
        <v>126875000</v>
      </c>
      <c r="BH18" s="1437">
        <f t="shared" si="17"/>
        <v>126875000</v>
      </c>
      <c r="BI18" s="1437">
        <f t="shared" si="17"/>
        <v>126875000</v>
      </c>
      <c r="BJ18" s="1437">
        <f t="shared" si="17"/>
        <v>126875000</v>
      </c>
      <c r="BK18" s="1437">
        <f t="shared" si="17"/>
        <v>126875000</v>
      </c>
      <c r="BL18" s="1437">
        <f t="shared" si="17"/>
        <v>126875000</v>
      </c>
    </row>
    <row r="19" spans="2:64" ht="15" customHeight="1">
      <c r="B19" s="1410"/>
      <c r="C19" s="1410"/>
      <c r="D19" s="1410"/>
      <c r="E19" s="1410"/>
      <c r="F19" s="1410"/>
      <c r="G19" s="1410"/>
      <c r="H19" s="1410"/>
      <c r="J19" s="1334"/>
      <c r="K19" s="1334"/>
      <c r="L19" s="1334"/>
      <c r="M19" s="1334"/>
      <c r="N19" s="1334"/>
      <c r="Q19" s="1410"/>
      <c r="R19" s="1410"/>
      <c r="S19" s="1410"/>
      <c r="T19" s="1410"/>
      <c r="V19" s="1334"/>
      <c r="W19" s="1334"/>
      <c r="X19" s="1334"/>
      <c r="Y19" s="1334"/>
      <c r="Z19" s="1334"/>
      <c r="AC19" s="1410"/>
      <c r="AD19" s="1410"/>
      <c r="AE19" s="1410"/>
      <c r="AF19" s="1410"/>
      <c r="AH19" s="1334"/>
      <c r="AI19" s="1334"/>
      <c r="AJ19" s="1334"/>
      <c r="AK19" s="1334"/>
      <c r="AL19" s="1334"/>
      <c r="AO19" s="1410"/>
      <c r="AP19" s="1410"/>
      <c r="AQ19" s="1410"/>
      <c r="AR19" s="1410"/>
      <c r="AT19" s="1334"/>
      <c r="AU19" s="1334"/>
      <c r="AV19" s="1334"/>
      <c r="AW19" s="1334"/>
      <c r="AX19" s="1334"/>
      <c r="BA19" s="1410"/>
      <c r="BB19" s="1410"/>
      <c r="BC19" s="1410"/>
      <c r="BD19" s="1410"/>
      <c r="BF19" s="1334"/>
      <c r="BG19" s="1334"/>
      <c r="BH19" s="1334"/>
      <c r="BI19" s="1334"/>
      <c r="BJ19" s="1334"/>
    </row>
    <row r="20" spans="2:64" ht="15" customHeight="1">
      <c r="B20" s="1410"/>
      <c r="C20" s="1410"/>
      <c r="D20" s="1410"/>
      <c r="E20" s="1890" t="s">
        <v>451</v>
      </c>
      <c r="F20" s="1890"/>
      <c r="G20" s="1890"/>
      <c r="H20" s="1890"/>
      <c r="I20" s="1890"/>
      <c r="J20" s="1890"/>
      <c r="K20" s="1890"/>
      <c r="L20" s="1890"/>
      <c r="M20" s="1890"/>
      <c r="N20" s="1890"/>
      <c r="O20" s="1890"/>
      <c r="P20" s="1890"/>
      <c r="Q20" s="1890" t="s">
        <v>632</v>
      </c>
      <c r="R20" s="1890"/>
      <c r="S20" s="1890"/>
      <c r="T20" s="1890"/>
      <c r="U20" s="1890"/>
      <c r="V20" s="1890"/>
      <c r="W20" s="1890"/>
      <c r="X20" s="1890"/>
      <c r="Y20" s="1890"/>
      <c r="Z20" s="1890"/>
      <c r="AA20" s="1890"/>
      <c r="AB20" s="1890"/>
      <c r="AC20" s="1890" t="s">
        <v>793</v>
      </c>
      <c r="AD20" s="1890"/>
      <c r="AE20" s="1890"/>
      <c r="AF20" s="1890"/>
      <c r="AG20" s="1890"/>
      <c r="AH20" s="1890"/>
      <c r="AI20" s="1890"/>
      <c r="AJ20" s="1890"/>
      <c r="AK20" s="1890"/>
      <c r="AL20" s="1890"/>
      <c r="AM20" s="1890"/>
      <c r="AN20" s="1890"/>
      <c r="AO20" s="1890" t="s">
        <v>794</v>
      </c>
      <c r="AP20" s="1890"/>
      <c r="AQ20" s="1890"/>
      <c r="AR20" s="1890"/>
      <c r="AS20" s="1890"/>
      <c r="AT20" s="1890"/>
      <c r="AU20" s="1890"/>
      <c r="AV20" s="1890"/>
      <c r="AW20" s="1890"/>
      <c r="AX20" s="1890"/>
      <c r="AY20" s="1890"/>
      <c r="AZ20" s="1890"/>
      <c r="BA20" s="1890" t="s">
        <v>795</v>
      </c>
      <c r="BB20" s="1890"/>
      <c r="BC20" s="1890"/>
      <c r="BD20" s="1890"/>
      <c r="BE20" s="1890"/>
      <c r="BF20" s="1890"/>
      <c r="BG20" s="1890"/>
      <c r="BH20" s="1890"/>
      <c r="BI20" s="1890"/>
      <c r="BJ20" s="1890"/>
      <c r="BK20" s="1890"/>
      <c r="BL20" s="1890"/>
    </row>
    <row r="21" spans="2:64" ht="15" customHeight="1">
      <c r="B21" s="1428" t="s">
        <v>451</v>
      </c>
      <c r="C21" s="1410"/>
      <c r="D21" s="1445">
        <v>0</v>
      </c>
      <c r="E21" s="1445">
        <v>1</v>
      </c>
      <c r="F21" s="1445">
        <v>2</v>
      </c>
      <c r="G21" s="1445">
        <v>3</v>
      </c>
      <c r="H21" s="1445">
        <v>4</v>
      </c>
      <c r="I21" s="1445">
        <v>5</v>
      </c>
      <c r="J21" s="1445">
        <v>6</v>
      </c>
      <c r="K21" s="1445">
        <v>7</v>
      </c>
      <c r="L21" s="1445">
        <v>8</v>
      </c>
      <c r="M21" s="1445">
        <v>9</v>
      </c>
      <c r="N21" s="1445">
        <v>10</v>
      </c>
      <c r="O21" s="1445">
        <v>11</v>
      </c>
      <c r="P21" s="1445">
        <v>12</v>
      </c>
      <c r="Q21" s="1445">
        <v>13</v>
      </c>
      <c r="R21" s="1445">
        <v>14</v>
      </c>
      <c r="S21" s="1445">
        <v>15</v>
      </c>
      <c r="T21" s="1445">
        <v>16</v>
      </c>
      <c r="U21" s="1445">
        <v>17</v>
      </c>
      <c r="V21" s="1445">
        <v>18</v>
      </c>
      <c r="W21" s="1445">
        <v>19</v>
      </c>
      <c r="X21" s="1445">
        <v>20</v>
      </c>
      <c r="Y21" s="1445">
        <v>21</v>
      </c>
      <c r="Z21" s="1445">
        <v>22</v>
      </c>
      <c r="AA21" s="1445">
        <v>23</v>
      </c>
      <c r="AB21" s="1445">
        <v>24</v>
      </c>
      <c r="AC21" s="1445">
        <v>25</v>
      </c>
      <c r="AD21" s="1445">
        <v>26</v>
      </c>
      <c r="AE21" s="1445">
        <v>27</v>
      </c>
      <c r="AF21" s="1445">
        <v>28</v>
      </c>
      <c r="AG21" s="1445">
        <v>29</v>
      </c>
      <c r="AH21" s="1445">
        <v>30</v>
      </c>
      <c r="AI21" s="1445">
        <v>31</v>
      </c>
      <c r="AJ21" s="1445">
        <v>32</v>
      </c>
      <c r="AK21" s="1445">
        <v>33</v>
      </c>
      <c r="AL21" s="1445">
        <v>34</v>
      </c>
      <c r="AM21" s="1445">
        <v>35</v>
      </c>
      <c r="AN21" s="1445">
        <v>36</v>
      </c>
      <c r="AO21" s="1445">
        <v>37</v>
      </c>
      <c r="AP21" s="1445">
        <v>38</v>
      </c>
      <c r="AQ21" s="1445">
        <v>39</v>
      </c>
      <c r="AR21" s="1445">
        <v>40</v>
      </c>
      <c r="AS21" s="1445">
        <v>41</v>
      </c>
      <c r="AT21" s="1445">
        <v>42</v>
      </c>
      <c r="AU21" s="1445">
        <v>43</v>
      </c>
      <c r="AV21" s="1445">
        <v>44</v>
      </c>
      <c r="AW21" s="1445">
        <v>45</v>
      </c>
      <c r="AX21" s="1445">
        <v>46</v>
      </c>
      <c r="AY21" s="1445">
        <v>47</v>
      </c>
      <c r="AZ21" s="1445">
        <v>48</v>
      </c>
      <c r="BA21" s="1445">
        <v>49</v>
      </c>
      <c r="BB21" s="1445">
        <v>50</v>
      </c>
      <c r="BC21" s="1445">
        <v>51</v>
      </c>
      <c r="BD21" s="1445">
        <v>52</v>
      </c>
      <c r="BE21" s="1445">
        <v>53</v>
      </c>
      <c r="BF21" s="1445">
        <v>54</v>
      </c>
      <c r="BG21" s="1445">
        <v>55</v>
      </c>
      <c r="BH21" s="1445">
        <v>56</v>
      </c>
      <c r="BI21" s="1445">
        <v>57</v>
      </c>
      <c r="BJ21" s="1445">
        <v>58</v>
      </c>
      <c r="BK21" s="1445">
        <v>59</v>
      </c>
      <c r="BL21" s="1445">
        <v>60</v>
      </c>
    </row>
    <row r="22" spans="2:64" ht="15" customHeight="1">
      <c r="B22" s="1446" t="s">
        <v>641</v>
      </c>
      <c r="C22" s="1410"/>
      <c r="D22" s="1410"/>
      <c r="E22" s="1410"/>
      <c r="F22" s="1410"/>
      <c r="G22" s="1410"/>
      <c r="H22" s="1410"/>
      <c r="J22" s="1334"/>
      <c r="K22" s="1334"/>
      <c r="L22" s="1334"/>
      <c r="M22" s="1334"/>
      <c r="N22" s="1334"/>
      <c r="Q22" s="1410"/>
      <c r="R22" s="1410"/>
      <c r="S22" s="1410"/>
      <c r="T22" s="1410"/>
      <c r="V22" s="1334"/>
      <c r="W22" s="1334"/>
      <c r="X22" s="1334"/>
      <c r="Y22" s="1334"/>
      <c r="Z22" s="1334"/>
      <c r="AC22" s="1410"/>
      <c r="AD22" s="1410"/>
      <c r="AE22" s="1410"/>
      <c r="AF22" s="1410"/>
      <c r="AH22" s="1334"/>
      <c r="AI22" s="1334"/>
      <c r="AJ22" s="1334"/>
      <c r="AK22" s="1334"/>
      <c r="AL22" s="1334"/>
      <c r="AO22" s="1410"/>
      <c r="AP22" s="1410"/>
      <c r="AQ22" s="1410"/>
      <c r="AR22" s="1410"/>
      <c r="AT22" s="1334"/>
      <c r="AU22" s="1334"/>
      <c r="AV22" s="1334"/>
      <c r="AW22" s="1334"/>
      <c r="AX22" s="1334"/>
      <c r="BA22" s="1410"/>
      <c r="BB22" s="1410"/>
      <c r="BC22" s="1410"/>
      <c r="BD22" s="1410"/>
      <c r="BF22" s="1334"/>
      <c r="BG22" s="1334"/>
      <c r="BH22" s="1334"/>
      <c r="BI22" s="1334"/>
      <c r="BJ22" s="1334"/>
    </row>
    <row r="23" spans="2:64" ht="15" customHeight="1">
      <c r="B23" s="1410" t="s">
        <v>184</v>
      </c>
      <c r="C23" s="1410"/>
      <c r="D23" s="1410"/>
      <c r="E23" s="1437">
        <f>E18</f>
        <v>0</v>
      </c>
      <c r="F23" s="1437">
        <f t="shared" ref="F23:P23" si="18">F18</f>
        <v>0</v>
      </c>
      <c r="G23" s="1437">
        <f t="shared" si="18"/>
        <v>175000</v>
      </c>
      <c r="H23" s="1437">
        <f t="shared" si="18"/>
        <v>583333.33333333337</v>
      </c>
      <c r="I23" s="1437">
        <f t="shared" si="18"/>
        <v>583333.33333333337</v>
      </c>
      <c r="J23" s="1437">
        <f t="shared" si="18"/>
        <v>583333.33333333337</v>
      </c>
      <c r="K23" s="1437">
        <f t="shared" si="18"/>
        <v>583333.33333333337</v>
      </c>
      <c r="L23" s="1437">
        <f t="shared" si="18"/>
        <v>583333.33333333337</v>
      </c>
      <c r="M23" s="1437">
        <f t="shared" si="18"/>
        <v>583333.33333333337</v>
      </c>
      <c r="N23" s="1437">
        <f t="shared" si="18"/>
        <v>583333.33333333337</v>
      </c>
      <c r="O23" s="1437">
        <f t="shared" si="18"/>
        <v>583333.33333333337</v>
      </c>
      <c r="P23" s="1437">
        <f t="shared" si="18"/>
        <v>583333.33333333337</v>
      </c>
      <c r="Q23" s="1437">
        <f>Q18</f>
        <v>97500000</v>
      </c>
      <c r="R23" s="1437">
        <f t="shared" ref="R23:BL23" si="19">R18</f>
        <v>97500000</v>
      </c>
      <c r="S23" s="1437">
        <f t="shared" si="19"/>
        <v>97500000</v>
      </c>
      <c r="T23" s="1437">
        <f t="shared" si="19"/>
        <v>97500000</v>
      </c>
      <c r="U23" s="1437">
        <f t="shared" si="19"/>
        <v>97500000</v>
      </c>
      <c r="V23" s="1437">
        <f t="shared" si="19"/>
        <v>97500000</v>
      </c>
      <c r="W23" s="1437">
        <f t="shared" si="19"/>
        <v>97500000</v>
      </c>
      <c r="X23" s="1437">
        <f t="shared" si="19"/>
        <v>97500000</v>
      </c>
      <c r="Y23" s="1437">
        <f t="shared" si="19"/>
        <v>97500000</v>
      </c>
      <c r="Z23" s="1437">
        <f t="shared" si="19"/>
        <v>97500000</v>
      </c>
      <c r="AA23" s="1437">
        <f t="shared" si="19"/>
        <v>97500000</v>
      </c>
      <c r="AB23" s="1437">
        <f t="shared" si="19"/>
        <v>97500000</v>
      </c>
      <c r="AC23" s="1437">
        <f t="shared" si="19"/>
        <v>106875000</v>
      </c>
      <c r="AD23" s="1437">
        <f t="shared" si="19"/>
        <v>106875000</v>
      </c>
      <c r="AE23" s="1437">
        <f t="shared" si="19"/>
        <v>106875000</v>
      </c>
      <c r="AF23" s="1437">
        <f t="shared" si="19"/>
        <v>106875000</v>
      </c>
      <c r="AG23" s="1437">
        <f t="shared" si="19"/>
        <v>106875000</v>
      </c>
      <c r="AH23" s="1437">
        <f t="shared" si="19"/>
        <v>106875000</v>
      </c>
      <c r="AI23" s="1437">
        <f t="shared" si="19"/>
        <v>106875000</v>
      </c>
      <c r="AJ23" s="1437">
        <f t="shared" si="19"/>
        <v>106875000</v>
      </c>
      <c r="AK23" s="1437">
        <f t="shared" si="19"/>
        <v>106875000</v>
      </c>
      <c r="AL23" s="1437">
        <f t="shared" si="19"/>
        <v>106875000</v>
      </c>
      <c r="AM23" s="1437">
        <f t="shared" si="19"/>
        <v>106875000</v>
      </c>
      <c r="AN23" s="1437">
        <f t="shared" si="19"/>
        <v>106875000</v>
      </c>
      <c r="AO23" s="1437">
        <f t="shared" si="19"/>
        <v>116666666.66666666</v>
      </c>
      <c r="AP23" s="1437">
        <f t="shared" si="19"/>
        <v>116666666.66666666</v>
      </c>
      <c r="AQ23" s="1437">
        <f t="shared" si="19"/>
        <v>116666666.66666666</v>
      </c>
      <c r="AR23" s="1437">
        <f t="shared" si="19"/>
        <v>116666666.66666666</v>
      </c>
      <c r="AS23" s="1437">
        <f t="shared" si="19"/>
        <v>116666666.66666666</v>
      </c>
      <c r="AT23" s="1437">
        <f t="shared" si="19"/>
        <v>116666666.66666666</v>
      </c>
      <c r="AU23" s="1437">
        <f t="shared" si="19"/>
        <v>116666666.66666666</v>
      </c>
      <c r="AV23" s="1437">
        <f t="shared" si="19"/>
        <v>116666666.66666666</v>
      </c>
      <c r="AW23" s="1437">
        <f t="shared" si="19"/>
        <v>116666666.66666666</v>
      </c>
      <c r="AX23" s="1437">
        <f t="shared" si="19"/>
        <v>116666666.66666666</v>
      </c>
      <c r="AY23" s="1437">
        <f t="shared" si="19"/>
        <v>116666666.66666666</v>
      </c>
      <c r="AZ23" s="1437">
        <f t="shared" si="19"/>
        <v>116666666.66666666</v>
      </c>
      <c r="BA23" s="1437">
        <f t="shared" si="19"/>
        <v>126875000</v>
      </c>
      <c r="BB23" s="1437">
        <f t="shared" si="19"/>
        <v>126875000</v>
      </c>
      <c r="BC23" s="1437">
        <f t="shared" si="19"/>
        <v>126875000</v>
      </c>
      <c r="BD23" s="1437">
        <f t="shared" si="19"/>
        <v>126875000</v>
      </c>
      <c r="BE23" s="1437">
        <f t="shared" si="19"/>
        <v>126875000</v>
      </c>
      <c r="BF23" s="1437">
        <f t="shared" si="19"/>
        <v>126875000</v>
      </c>
      <c r="BG23" s="1437">
        <f t="shared" si="19"/>
        <v>126875000</v>
      </c>
      <c r="BH23" s="1437">
        <f t="shared" si="19"/>
        <v>126875000</v>
      </c>
      <c r="BI23" s="1437">
        <f t="shared" si="19"/>
        <v>126875000</v>
      </c>
      <c r="BJ23" s="1437">
        <f t="shared" si="19"/>
        <v>126875000</v>
      </c>
      <c r="BK23" s="1437">
        <f t="shared" si="19"/>
        <v>126875000</v>
      </c>
      <c r="BL23" s="1437">
        <f t="shared" si="19"/>
        <v>126875000</v>
      </c>
    </row>
    <row r="24" spans="2:64" ht="15" customHeight="1">
      <c r="B24" s="1410" t="s">
        <v>1360</v>
      </c>
      <c r="C24" s="1447">
        <v>0</v>
      </c>
      <c r="D24" s="1410"/>
      <c r="E24" s="1437">
        <f>C24</f>
        <v>0</v>
      </c>
      <c r="F24" s="1437">
        <f t="shared" ref="F24:BL24" si="20">D24</f>
        <v>0</v>
      </c>
      <c r="G24" s="1437">
        <f t="shared" si="20"/>
        <v>0</v>
      </c>
      <c r="H24" s="1437">
        <f t="shared" si="20"/>
        <v>0</v>
      </c>
      <c r="I24" s="1437">
        <f t="shared" si="20"/>
        <v>0</v>
      </c>
      <c r="J24" s="1437">
        <f t="shared" si="20"/>
        <v>0</v>
      </c>
      <c r="K24" s="1437">
        <f t="shared" si="20"/>
        <v>0</v>
      </c>
      <c r="L24" s="1437">
        <f t="shared" si="20"/>
        <v>0</v>
      </c>
      <c r="M24" s="1437">
        <f t="shared" si="20"/>
        <v>0</v>
      </c>
      <c r="N24" s="1437">
        <f t="shared" si="20"/>
        <v>0</v>
      </c>
      <c r="O24" s="1437">
        <f t="shared" si="20"/>
        <v>0</v>
      </c>
      <c r="P24" s="1437">
        <f t="shared" si="20"/>
        <v>0</v>
      </c>
      <c r="Q24" s="1437">
        <f t="shared" si="20"/>
        <v>0</v>
      </c>
      <c r="R24" s="1437">
        <f t="shared" si="20"/>
        <v>0</v>
      </c>
      <c r="S24" s="1437">
        <f t="shared" si="20"/>
        <v>0</v>
      </c>
      <c r="T24" s="1437">
        <f t="shared" si="20"/>
        <v>0</v>
      </c>
      <c r="U24" s="1437">
        <f t="shared" si="20"/>
        <v>0</v>
      </c>
      <c r="V24" s="1437">
        <f t="shared" si="20"/>
        <v>0</v>
      </c>
      <c r="W24" s="1437">
        <f t="shared" si="20"/>
        <v>0</v>
      </c>
      <c r="X24" s="1437">
        <f t="shared" si="20"/>
        <v>0</v>
      </c>
      <c r="Y24" s="1437">
        <f t="shared" si="20"/>
        <v>0</v>
      </c>
      <c r="Z24" s="1437">
        <f t="shared" si="20"/>
        <v>0</v>
      </c>
      <c r="AA24" s="1437">
        <f t="shared" si="20"/>
        <v>0</v>
      </c>
      <c r="AB24" s="1437">
        <f t="shared" si="20"/>
        <v>0</v>
      </c>
      <c r="AC24" s="1437">
        <f t="shared" si="20"/>
        <v>0</v>
      </c>
      <c r="AD24" s="1437">
        <f t="shared" si="20"/>
        <v>0</v>
      </c>
      <c r="AE24" s="1437">
        <f t="shared" si="20"/>
        <v>0</v>
      </c>
      <c r="AF24" s="1437">
        <f t="shared" si="20"/>
        <v>0</v>
      </c>
      <c r="AG24" s="1437">
        <f t="shared" si="20"/>
        <v>0</v>
      </c>
      <c r="AH24" s="1437">
        <f t="shared" si="20"/>
        <v>0</v>
      </c>
      <c r="AI24" s="1437">
        <f t="shared" si="20"/>
        <v>0</v>
      </c>
      <c r="AJ24" s="1437">
        <f t="shared" si="20"/>
        <v>0</v>
      </c>
      <c r="AK24" s="1437">
        <f t="shared" si="20"/>
        <v>0</v>
      </c>
      <c r="AL24" s="1437">
        <f t="shared" si="20"/>
        <v>0</v>
      </c>
      <c r="AM24" s="1437">
        <f t="shared" si="20"/>
        <v>0</v>
      </c>
      <c r="AN24" s="1437">
        <f t="shared" si="20"/>
        <v>0</v>
      </c>
      <c r="AO24" s="1437">
        <f t="shared" si="20"/>
        <v>0</v>
      </c>
      <c r="AP24" s="1437">
        <f t="shared" si="20"/>
        <v>0</v>
      </c>
      <c r="AQ24" s="1437">
        <f t="shared" si="20"/>
        <v>0</v>
      </c>
      <c r="AR24" s="1437">
        <f t="shared" si="20"/>
        <v>0</v>
      </c>
      <c r="AS24" s="1437">
        <f t="shared" si="20"/>
        <v>0</v>
      </c>
      <c r="AT24" s="1437">
        <f t="shared" si="20"/>
        <v>0</v>
      </c>
      <c r="AU24" s="1437">
        <f t="shared" si="20"/>
        <v>0</v>
      </c>
      <c r="AV24" s="1437">
        <f t="shared" si="20"/>
        <v>0</v>
      </c>
      <c r="AW24" s="1437">
        <f t="shared" si="20"/>
        <v>0</v>
      </c>
      <c r="AX24" s="1437">
        <f t="shared" si="20"/>
        <v>0</v>
      </c>
      <c r="AY24" s="1437">
        <f t="shared" si="20"/>
        <v>0</v>
      </c>
      <c r="AZ24" s="1437">
        <f t="shared" si="20"/>
        <v>0</v>
      </c>
      <c r="BA24" s="1437">
        <f t="shared" si="20"/>
        <v>0</v>
      </c>
      <c r="BB24" s="1437">
        <f t="shared" si="20"/>
        <v>0</v>
      </c>
      <c r="BC24" s="1437">
        <f t="shared" si="20"/>
        <v>0</v>
      </c>
      <c r="BD24" s="1437">
        <f t="shared" si="20"/>
        <v>0</v>
      </c>
      <c r="BE24" s="1437">
        <f t="shared" si="20"/>
        <v>0</v>
      </c>
      <c r="BF24" s="1437">
        <f t="shared" si="20"/>
        <v>0</v>
      </c>
      <c r="BG24" s="1437">
        <f t="shared" si="20"/>
        <v>0</v>
      </c>
      <c r="BH24" s="1437">
        <f t="shared" si="20"/>
        <v>0</v>
      </c>
      <c r="BI24" s="1437">
        <f t="shared" si="20"/>
        <v>0</v>
      </c>
      <c r="BJ24" s="1437">
        <f t="shared" si="20"/>
        <v>0</v>
      </c>
      <c r="BK24" s="1437">
        <f t="shared" si="20"/>
        <v>0</v>
      </c>
      <c r="BL24" s="1437">
        <f t="shared" si="20"/>
        <v>0</v>
      </c>
    </row>
    <row r="25" spans="2:64" ht="15" customHeight="1">
      <c r="B25" s="1434" t="s">
        <v>642</v>
      </c>
      <c r="C25" s="449">
        <v>3500</v>
      </c>
      <c r="D25" s="1410"/>
      <c r="E25" s="1410">
        <f>$C$25/12</f>
        <v>291.66666666666669</v>
      </c>
      <c r="F25" s="1410">
        <f t="shared" ref="F25:P25" si="21">$C$25/12</f>
        <v>291.66666666666669</v>
      </c>
      <c r="G25" s="1410">
        <f t="shared" si="21"/>
        <v>291.66666666666669</v>
      </c>
      <c r="H25" s="1410">
        <f t="shared" si="21"/>
        <v>291.66666666666669</v>
      </c>
      <c r="I25" s="1410">
        <f t="shared" si="21"/>
        <v>291.66666666666669</v>
      </c>
      <c r="J25" s="1410">
        <f t="shared" si="21"/>
        <v>291.66666666666669</v>
      </c>
      <c r="K25" s="1410">
        <f t="shared" si="21"/>
        <v>291.66666666666669</v>
      </c>
      <c r="L25" s="1410">
        <f t="shared" si="21"/>
        <v>291.66666666666669</v>
      </c>
      <c r="M25" s="1410">
        <f t="shared" si="21"/>
        <v>291.66666666666669</v>
      </c>
      <c r="N25" s="1410">
        <f t="shared" si="21"/>
        <v>291.66666666666669</v>
      </c>
      <c r="O25" s="1410">
        <f t="shared" si="21"/>
        <v>291.66666666666669</v>
      </c>
      <c r="P25" s="1410">
        <f t="shared" si="21"/>
        <v>291.66666666666669</v>
      </c>
      <c r="Q25" s="1410">
        <f t="shared" ref="Q25:AB25" si="22">$V$3/12</f>
        <v>12916.666666666666</v>
      </c>
      <c r="R25" s="1410">
        <f t="shared" si="22"/>
        <v>12916.666666666666</v>
      </c>
      <c r="S25" s="1410">
        <f t="shared" si="22"/>
        <v>12916.666666666666</v>
      </c>
      <c r="T25" s="1410">
        <f t="shared" si="22"/>
        <v>12916.666666666666</v>
      </c>
      <c r="U25" s="1410">
        <f t="shared" si="22"/>
        <v>12916.666666666666</v>
      </c>
      <c r="V25" s="1410">
        <f t="shared" si="22"/>
        <v>12916.666666666666</v>
      </c>
      <c r="W25" s="1410">
        <f t="shared" si="22"/>
        <v>12916.666666666666</v>
      </c>
      <c r="X25" s="1410">
        <f t="shared" si="22"/>
        <v>12916.666666666666</v>
      </c>
      <c r="Y25" s="1410">
        <f t="shared" si="22"/>
        <v>12916.666666666666</v>
      </c>
      <c r="Z25" s="1410">
        <f t="shared" si="22"/>
        <v>12916.666666666666</v>
      </c>
      <c r="AA25" s="1410">
        <f t="shared" si="22"/>
        <v>12916.666666666666</v>
      </c>
      <c r="AB25" s="1410">
        <f t="shared" si="22"/>
        <v>12916.666666666666</v>
      </c>
      <c r="AC25" s="1410">
        <f t="shared" ref="AC25:AN25" si="23">$AH$3/12</f>
        <v>13333.333333333334</v>
      </c>
      <c r="AD25" s="1410">
        <f t="shared" si="23"/>
        <v>13333.333333333334</v>
      </c>
      <c r="AE25" s="1410">
        <f t="shared" si="23"/>
        <v>13333.333333333334</v>
      </c>
      <c r="AF25" s="1410">
        <f t="shared" si="23"/>
        <v>13333.333333333334</v>
      </c>
      <c r="AG25" s="1410">
        <f t="shared" si="23"/>
        <v>13333.333333333334</v>
      </c>
      <c r="AH25" s="1410">
        <f t="shared" si="23"/>
        <v>13333.333333333334</v>
      </c>
      <c r="AI25" s="1410">
        <f t="shared" si="23"/>
        <v>13333.333333333334</v>
      </c>
      <c r="AJ25" s="1410">
        <f t="shared" si="23"/>
        <v>13333.333333333334</v>
      </c>
      <c r="AK25" s="1410">
        <f t="shared" si="23"/>
        <v>13333.333333333334</v>
      </c>
      <c r="AL25" s="1410">
        <f t="shared" si="23"/>
        <v>13333.333333333334</v>
      </c>
      <c r="AM25" s="1410">
        <f t="shared" si="23"/>
        <v>13333.333333333334</v>
      </c>
      <c r="AN25" s="1410">
        <f t="shared" si="23"/>
        <v>13333.333333333334</v>
      </c>
      <c r="AO25" s="1410">
        <f>$AT$3/12</f>
        <v>13750</v>
      </c>
      <c r="AP25" s="1410">
        <f t="shared" ref="AP25:AZ25" si="24">$AT$3/12</f>
        <v>13750</v>
      </c>
      <c r="AQ25" s="1410">
        <f t="shared" si="24"/>
        <v>13750</v>
      </c>
      <c r="AR25" s="1410">
        <f t="shared" si="24"/>
        <v>13750</v>
      </c>
      <c r="AS25" s="1410">
        <f t="shared" si="24"/>
        <v>13750</v>
      </c>
      <c r="AT25" s="1410">
        <f t="shared" si="24"/>
        <v>13750</v>
      </c>
      <c r="AU25" s="1410">
        <f t="shared" si="24"/>
        <v>13750</v>
      </c>
      <c r="AV25" s="1410">
        <f t="shared" si="24"/>
        <v>13750</v>
      </c>
      <c r="AW25" s="1410">
        <f t="shared" si="24"/>
        <v>13750</v>
      </c>
      <c r="AX25" s="1410">
        <f t="shared" si="24"/>
        <v>13750</v>
      </c>
      <c r="AY25" s="1410">
        <f t="shared" si="24"/>
        <v>13750</v>
      </c>
      <c r="AZ25" s="1410">
        <f t="shared" si="24"/>
        <v>13750</v>
      </c>
      <c r="BA25" s="1410">
        <f>$BF$3/12</f>
        <v>14166.666666666666</v>
      </c>
      <c r="BB25" s="1410">
        <f t="shared" ref="BB25:BL25" si="25">$BF$3/12</f>
        <v>14166.666666666666</v>
      </c>
      <c r="BC25" s="1410">
        <f t="shared" si="25"/>
        <v>14166.666666666666</v>
      </c>
      <c r="BD25" s="1410">
        <f t="shared" si="25"/>
        <v>14166.666666666666</v>
      </c>
      <c r="BE25" s="1410">
        <f t="shared" si="25"/>
        <v>14166.666666666666</v>
      </c>
      <c r="BF25" s="1410">
        <f t="shared" si="25"/>
        <v>14166.666666666666</v>
      </c>
      <c r="BG25" s="1410">
        <f t="shared" si="25"/>
        <v>14166.666666666666</v>
      </c>
      <c r="BH25" s="1410">
        <f t="shared" si="25"/>
        <v>14166.666666666666</v>
      </c>
      <c r="BI25" s="1410">
        <f t="shared" si="25"/>
        <v>14166.666666666666</v>
      </c>
      <c r="BJ25" s="1410">
        <f t="shared" si="25"/>
        <v>14166.666666666666</v>
      </c>
      <c r="BK25" s="1410">
        <f t="shared" si="25"/>
        <v>14166.666666666666</v>
      </c>
      <c r="BL25" s="1410">
        <f t="shared" si="25"/>
        <v>14166.666666666666</v>
      </c>
    </row>
    <row r="26" spans="2:64" ht="15" customHeight="1">
      <c r="B26" s="1446" t="s">
        <v>643</v>
      </c>
      <c r="C26" s="1410"/>
      <c r="D26" s="1410"/>
      <c r="E26" s="1410"/>
      <c r="F26" s="1410"/>
      <c r="G26" s="1410"/>
      <c r="H26" s="1410"/>
      <c r="J26" s="1334"/>
      <c r="K26" s="1334"/>
      <c r="L26" s="1334"/>
      <c r="M26" s="1334"/>
      <c r="N26" s="1334"/>
      <c r="Q26" s="1410"/>
      <c r="R26" s="1410"/>
      <c r="S26" s="1410"/>
      <c r="T26" s="1410"/>
      <c r="V26" s="1334"/>
      <c r="W26" s="1334"/>
      <c r="X26" s="1334"/>
      <c r="Y26" s="1334"/>
      <c r="Z26" s="1334"/>
      <c r="AC26" s="1410"/>
      <c r="AD26" s="1410"/>
      <c r="AE26" s="1410"/>
      <c r="AF26" s="1410"/>
      <c r="AH26" s="1334"/>
      <c r="AI26" s="1334"/>
      <c r="AJ26" s="1334"/>
      <c r="AK26" s="1334"/>
      <c r="AL26" s="1334"/>
      <c r="AO26" s="1410"/>
      <c r="AP26" s="1410"/>
      <c r="AQ26" s="1410"/>
      <c r="AR26" s="1410"/>
      <c r="AT26" s="1334"/>
      <c r="AU26" s="1334"/>
      <c r="AV26" s="1334"/>
      <c r="AW26" s="1334"/>
      <c r="AX26" s="1334"/>
      <c r="BA26" s="1410"/>
      <c r="BB26" s="1410"/>
      <c r="BC26" s="1410"/>
      <c r="BD26" s="1410"/>
      <c r="BF26" s="1334"/>
      <c r="BG26" s="1334"/>
      <c r="BH26" s="1334"/>
      <c r="BI26" s="1334"/>
      <c r="BJ26" s="1334"/>
    </row>
    <row r="27" spans="2:64" ht="15" customHeight="1">
      <c r="B27" s="1448" t="s">
        <v>644</v>
      </c>
      <c r="C27" s="1410"/>
      <c r="D27" s="1410"/>
      <c r="E27" s="1410"/>
      <c r="F27" s="1410"/>
      <c r="G27" s="1410"/>
      <c r="H27" s="1410"/>
      <c r="J27" s="1334"/>
      <c r="K27" s="1334"/>
      <c r="L27" s="1334"/>
      <c r="M27" s="1334"/>
      <c r="N27" s="1334"/>
      <c r="Q27" s="1410"/>
      <c r="R27" s="1410"/>
      <c r="S27" s="1410"/>
      <c r="T27" s="1410"/>
      <c r="V27" s="1334"/>
      <c r="W27" s="1334"/>
      <c r="X27" s="1334"/>
      <c r="Y27" s="1334"/>
      <c r="Z27" s="1334"/>
      <c r="AC27" s="1410"/>
      <c r="AD27" s="1410"/>
      <c r="AE27" s="1410"/>
      <c r="AF27" s="1410"/>
      <c r="AH27" s="1334"/>
      <c r="AI27" s="1334"/>
      <c r="AJ27" s="1334"/>
      <c r="AK27" s="1334"/>
      <c r="AL27" s="1334"/>
      <c r="AO27" s="1410"/>
      <c r="AP27" s="1410"/>
      <c r="AQ27" s="1410"/>
      <c r="AR27" s="1410"/>
      <c r="AT27" s="1334"/>
      <c r="AU27" s="1334"/>
      <c r="AV27" s="1334"/>
      <c r="AW27" s="1334"/>
      <c r="AX27" s="1334"/>
      <c r="BA27" s="1410"/>
      <c r="BB27" s="1410"/>
      <c r="BC27" s="1410"/>
      <c r="BD27" s="1410"/>
      <c r="BF27" s="1334"/>
      <c r="BG27" s="1334"/>
      <c r="BH27" s="1334"/>
      <c r="BI27" s="1334"/>
      <c r="BJ27" s="1334"/>
    </row>
    <row r="28" spans="2:64">
      <c r="B28" s="1410" t="s">
        <v>1361</v>
      </c>
      <c r="C28" s="450">
        <v>0</v>
      </c>
      <c r="D28" s="1410"/>
      <c r="E28" s="1441">
        <f>-$C28*E25</f>
        <v>0</v>
      </c>
      <c r="F28" s="1441">
        <f t="shared" ref="F28:P28" si="26">-$C28*F25</f>
        <v>0</v>
      </c>
      <c r="G28" s="1441">
        <f t="shared" si="26"/>
        <v>0</v>
      </c>
      <c r="H28" s="1441">
        <f t="shared" si="26"/>
        <v>0</v>
      </c>
      <c r="I28" s="1441">
        <f t="shared" si="26"/>
        <v>0</v>
      </c>
      <c r="J28" s="1441">
        <f t="shared" si="26"/>
        <v>0</v>
      </c>
      <c r="K28" s="1441">
        <f t="shared" si="26"/>
        <v>0</v>
      </c>
      <c r="L28" s="1441">
        <f t="shared" si="26"/>
        <v>0</v>
      </c>
      <c r="M28" s="1441">
        <f t="shared" si="26"/>
        <v>0</v>
      </c>
      <c r="N28" s="1441">
        <f t="shared" si="26"/>
        <v>0</v>
      </c>
      <c r="O28" s="1441">
        <f t="shared" si="26"/>
        <v>0</v>
      </c>
      <c r="P28" s="1441">
        <f t="shared" si="26"/>
        <v>0</v>
      </c>
      <c r="Q28" s="1441">
        <f>-$C28*Q25</f>
        <v>0</v>
      </c>
      <c r="R28" s="1441">
        <f t="shared" ref="R28:BL28" si="27">-$C28*R25</f>
        <v>0</v>
      </c>
      <c r="S28" s="1441">
        <f t="shared" si="27"/>
        <v>0</v>
      </c>
      <c r="T28" s="1441">
        <f t="shared" si="27"/>
        <v>0</v>
      </c>
      <c r="U28" s="1441">
        <f t="shared" si="27"/>
        <v>0</v>
      </c>
      <c r="V28" s="1441">
        <f t="shared" si="27"/>
        <v>0</v>
      </c>
      <c r="W28" s="1441">
        <f t="shared" si="27"/>
        <v>0</v>
      </c>
      <c r="X28" s="1441">
        <f t="shared" si="27"/>
        <v>0</v>
      </c>
      <c r="Y28" s="1441">
        <f t="shared" si="27"/>
        <v>0</v>
      </c>
      <c r="Z28" s="1441">
        <f t="shared" si="27"/>
        <v>0</v>
      </c>
      <c r="AA28" s="1441">
        <f t="shared" si="27"/>
        <v>0</v>
      </c>
      <c r="AB28" s="1441">
        <f t="shared" si="27"/>
        <v>0</v>
      </c>
      <c r="AC28" s="1441">
        <f t="shared" si="27"/>
        <v>0</v>
      </c>
      <c r="AD28" s="1441">
        <f t="shared" si="27"/>
        <v>0</v>
      </c>
      <c r="AE28" s="1441">
        <f t="shared" si="27"/>
        <v>0</v>
      </c>
      <c r="AF28" s="1441">
        <f t="shared" si="27"/>
        <v>0</v>
      </c>
      <c r="AG28" s="1441">
        <f t="shared" si="27"/>
        <v>0</v>
      </c>
      <c r="AH28" s="1441">
        <f t="shared" si="27"/>
        <v>0</v>
      </c>
      <c r="AI28" s="1441">
        <f t="shared" si="27"/>
        <v>0</v>
      </c>
      <c r="AJ28" s="1441">
        <f t="shared" si="27"/>
        <v>0</v>
      </c>
      <c r="AK28" s="1441">
        <f t="shared" si="27"/>
        <v>0</v>
      </c>
      <c r="AL28" s="1441">
        <f t="shared" si="27"/>
        <v>0</v>
      </c>
      <c r="AM28" s="1441">
        <f t="shared" si="27"/>
        <v>0</v>
      </c>
      <c r="AN28" s="1441">
        <f t="shared" si="27"/>
        <v>0</v>
      </c>
      <c r="AO28" s="1441">
        <f t="shared" si="27"/>
        <v>0</v>
      </c>
      <c r="AP28" s="1441">
        <f t="shared" si="27"/>
        <v>0</v>
      </c>
      <c r="AQ28" s="1441">
        <f t="shared" si="27"/>
        <v>0</v>
      </c>
      <c r="AR28" s="1441">
        <f t="shared" si="27"/>
        <v>0</v>
      </c>
      <c r="AS28" s="1441">
        <f t="shared" si="27"/>
        <v>0</v>
      </c>
      <c r="AT28" s="1441">
        <f t="shared" si="27"/>
        <v>0</v>
      </c>
      <c r="AU28" s="1441">
        <f t="shared" si="27"/>
        <v>0</v>
      </c>
      <c r="AV28" s="1441">
        <f t="shared" si="27"/>
        <v>0</v>
      </c>
      <c r="AW28" s="1441">
        <f t="shared" si="27"/>
        <v>0</v>
      </c>
      <c r="AX28" s="1441">
        <f t="shared" si="27"/>
        <v>0</v>
      </c>
      <c r="AY28" s="1441">
        <f t="shared" si="27"/>
        <v>0</v>
      </c>
      <c r="AZ28" s="1441">
        <f t="shared" si="27"/>
        <v>0</v>
      </c>
      <c r="BA28" s="1441">
        <f t="shared" si="27"/>
        <v>0</v>
      </c>
      <c r="BB28" s="1441">
        <f t="shared" si="27"/>
        <v>0</v>
      </c>
      <c r="BC28" s="1441">
        <f t="shared" si="27"/>
        <v>0</v>
      </c>
      <c r="BD28" s="1441">
        <f t="shared" si="27"/>
        <v>0</v>
      </c>
      <c r="BE28" s="1441">
        <f t="shared" si="27"/>
        <v>0</v>
      </c>
      <c r="BF28" s="1441">
        <f t="shared" si="27"/>
        <v>0</v>
      </c>
      <c r="BG28" s="1441">
        <f t="shared" si="27"/>
        <v>0</v>
      </c>
      <c r="BH28" s="1441">
        <f t="shared" si="27"/>
        <v>0</v>
      </c>
      <c r="BI28" s="1441">
        <f t="shared" si="27"/>
        <v>0</v>
      </c>
      <c r="BJ28" s="1441">
        <f t="shared" si="27"/>
        <v>0</v>
      </c>
      <c r="BK28" s="1441">
        <f t="shared" si="27"/>
        <v>0</v>
      </c>
      <c r="BL28" s="1441">
        <f t="shared" si="27"/>
        <v>0</v>
      </c>
    </row>
    <row r="29" spans="2:64">
      <c r="B29" s="1410" t="s">
        <v>1362</v>
      </c>
      <c r="C29" s="450">
        <v>0</v>
      </c>
      <c r="D29" s="1410"/>
      <c r="E29" s="1441">
        <f>-$C29*E25</f>
        <v>0</v>
      </c>
      <c r="F29" s="1441">
        <f t="shared" ref="F29:P29" si="28">-$C29*F25</f>
        <v>0</v>
      </c>
      <c r="G29" s="1441">
        <f t="shared" si="28"/>
        <v>0</v>
      </c>
      <c r="H29" s="1441">
        <f t="shared" si="28"/>
        <v>0</v>
      </c>
      <c r="I29" s="1441">
        <f t="shared" si="28"/>
        <v>0</v>
      </c>
      <c r="J29" s="1441">
        <f t="shared" si="28"/>
        <v>0</v>
      </c>
      <c r="K29" s="1441">
        <f t="shared" si="28"/>
        <v>0</v>
      </c>
      <c r="L29" s="1441">
        <f t="shared" si="28"/>
        <v>0</v>
      </c>
      <c r="M29" s="1441">
        <f t="shared" si="28"/>
        <v>0</v>
      </c>
      <c r="N29" s="1441">
        <f t="shared" si="28"/>
        <v>0</v>
      </c>
      <c r="O29" s="1441">
        <f t="shared" si="28"/>
        <v>0</v>
      </c>
      <c r="P29" s="1441">
        <f t="shared" si="28"/>
        <v>0</v>
      </c>
      <c r="Q29" s="1441">
        <f>-$C29*Q25</f>
        <v>0</v>
      </c>
      <c r="R29" s="1441">
        <f t="shared" ref="R29:BL29" si="29">-$C29*R25</f>
        <v>0</v>
      </c>
      <c r="S29" s="1441">
        <f t="shared" si="29"/>
        <v>0</v>
      </c>
      <c r="T29" s="1441">
        <f t="shared" si="29"/>
        <v>0</v>
      </c>
      <c r="U29" s="1441">
        <f t="shared" si="29"/>
        <v>0</v>
      </c>
      <c r="V29" s="1441">
        <f t="shared" si="29"/>
        <v>0</v>
      </c>
      <c r="W29" s="1441">
        <f t="shared" si="29"/>
        <v>0</v>
      </c>
      <c r="X29" s="1441">
        <f t="shared" si="29"/>
        <v>0</v>
      </c>
      <c r="Y29" s="1441">
        <f t="shared" si="29"/>
        <v>0</v>
      </c>
      <c r="Z29" s="1441">
        <f t="shared" si="29"/>
        <v>0</v>
      </c>
      <c r="AA29" s="1441">
        <f t="shared" si="29"/>
        <v>0</v>
      </c>
      <c r="AB29" s="1441">
        <f t="shared" si="29"/>
        <v>0</v>
      </c>
      <c r="AC29" s="1441">
        <f t="shared" si="29"/>
        <v>0</v>
      </c>
      <c r="AD29" s="1441">
        <f t="shared" si="29"/>
        <v>0</v>
      </c>
      <c r="AE29" s="1441">
        <f t="shared" si="29"/>
        <v>0</v>
      </c>
      <c r="AF29" s="1441">
        <f t="shared" si="29"/>
        <v>0</v>
      </c>
      <c r="AG29" s="1441">
        <f t="shared" si="29"/>
        <v>0</v>
      </c>
      <c r="AH29" s="1441">
        <f t="shared" si="29"/>
        <v>0</v>
      </c>
      <c r="AI29" s="1441">
        <f t="shared" si="29"/>
        <v>0</v>
      </c>
      <c r="AJ29" s="1441">
        <f t="shared" si="29"/>
        <v>0</v>
      </c>
      <c r="AK29" s="1441">
        <f t="shared" si="29"/>
        <v>0</v>
      </c>
      <c r="AL29" s="1441">
        <f t="shared" si="29"/>
        <v>0</v>
      </c>
      <c r="AM29" s="1441">
        <f t="shared" si="29"/>
        <v>0</v>
      </c>
      <c r="AN29" s="1441">
        <f t="shared" si="29"/>
        <v>0</v>
      </c>
      <c r="AO29" s="1441">
        <f t="shared" si="29"/>
        <v>0</v>
      </c>
      <c r="AP29" s="1441">
        <f t="shared" si="29"/>
        <v>0</v>
      </c>
      <c r="AQ29" s="1441">
        <f t="shared" si="29"/>
        <v>0</v>
      </c>
      <c r="AR29" s="1441">
        <f t="shared" si="29"/>
        <v>0</v>
      </c>
      <c r="AS29" s="1441">
        <f t="shared" si="29"/>
        <v>0</v>
      </c>
      <c r="AT29" s="1441">
        <f t="shared" si="29"/>
        <v>0</v>
      </c>
      <c r="AU29" s="1441">
        <f t="shared" si="29"/>
        <v>0</v>
      </c>
      <c r="AV29" s="1441">
        <f t="shared" si="29"/>
        <v>0</v>
      </c>
      <c r="AW29" s="1441">
        <f t="shared" si="29"/>
        <v>0</v>
      </c>
      <c r="AX29" s="1441">
        <f t="shared" si="29"/>
        <v>0</v>
      </c>
      <c r="AY29" s="1441">
        <f t="shared" si="29"/>
        <v>0</v>
      </c>
      <c r="AZ29" s="1441">
        <f t="shared" si="29"/>
        <v>0</v>
      </c>
      <c r="BA29" s="1441">
        <f t="shared" si="29"/>
        <v>0</v>
      </c>
      <c r="BB29" s="1441">
        <f t="shared" si="29"/>
        <v>0</v>
      </c>
      <c r="BC29" s="1441">
        <f t="shared" si="29"/>
        <v>0</v>
      </c>
      <c r="BD29" s="1441">
        <f t="shared" si="29"/>
        <v>0</v>
      </c>
      <c r="BE29" s="1441">
        <f t="shared" si="29"/>
        <v>0</v>
      </c>
      <c r="BF29" s="1441">
        <f t="shared" si="29"/>
        <v>0</v>
      </c>
      <c r="BG29" s="1441">
        <f t="shared" si="29"/>
        <v>0</v>
      </c>
      <c r="BH29" s="1441">
        <f t="shared" si="29"/>
        <v>0</v>
      </c>
      <c r="BI29" s="1441">
        <f t="shared" si="29"/>
        <v>0</v>
      </c>
      <c r="BJ29" s="1441">
        <f t="shared" si="29"/>
        <v>0</v>
      </c>
      <c r="BK29" s="1441">
        <f t="shared" si="29"/>
        <v>0</v>
      </c>
      <c r="BL29" s="1441">
        <f t="shared" si="29"/>
        <v>0</v>
      </c>
    </row>
    <row r="30" spans="2:64">
      <c r="B30" s="1410" t="s">
        <v>1363</v>
      </c>
      <c r="C30" s="450">
        <v>0</v>
      </c>
      <c r="D30" s="1410"/>
      <c r="E30" s="1441">
        <f>-$C30*E25</f>
        <v>0</v>
      </c>
      <c r="F30" s="1441">
        <f t="shared" ref="F30:P30" si="30">-$C30*F25</f>
        <v>0</v>
      </c>
      <c r="G30" s="1441">
        <f t="shared" si="30"/>
        <v>0</v>
      </c>
      <c r="H30" s="1441">
        <f t="shared" si="30"/>
        <v>0</v>
      </c>
      <c r="I30" s="1441">
        <f t="shared" si="30"/>
        <v>0</v>
      </c>
      <c r="J30" s="1441">
        <f t="shared" si="30"/>
        <v>0</v>
      </c>
      <c r="K30" s="1441">
        <f t="shared" si="30"/>
        <v>0</v>
      </c>
      <c r="L30" s="1441">
        <f t="shared" si="30"/>
        <v>0</v>
      </c>
      <c r="M30" s="1441">
        <f t="shared" si="30"/>
        <v>0</v>
      </c>
      <c r="N30" s="1441">
        <f t="shared" si="30"/>
        <v>0</v>
      </c>
      <c r="O30" s="1441">
        <f t="shared" si="30"/>
        <v>0</v>
      </c>
      <c r="P30" s="1441">
        <f t="shared" si="30"/>
        <v>0</v>
      </c>
      <c r="Q30" s="1441">
        <f>-$C30*Q25</f>
        <v>0</v>
      </c>
      <c r="R30" s="1441">
        <f t="shared" ref="R30:BL30" si="31">-$C30*R25</f>
        <v>0</v>
      </c>
      <c r="S30" s="1441">
        <f t="shared" si="31"/>
        <v>0</v>
      </c>
      <c r="T30" s="1441">
        <f t="shared" si="31"/>
        <v>0</v>
      </c>
      <c r="U30" s="1441">
        <f t="shared" si="31"/>
        <v>0</v>
      </c>
      <c r="V30" s="1441">
        <f t="shared" si="31"/>
        <v>0</v>
      </c>
      <c r="W30" s="1441">
        <f t="shared" si="31"/>
        <v>0</v>
      </c>
      <c r="X30" s="1441">
        <f t="shared" si="31"/>
        <v>0</v>
      </c>
      <c r="Y30" s="1441">
        <f t="shared" si="31"/>
        <v>0</v>
      </c>
      <c r="Z30" s="1441">
        <f t="shared" si="31"/>
        <v>0</v>
      </c>
      <c r="AA30" s="1441">
        <f t="shared" si="31"/>
        <v>0</v>
      </c>
      <c r="AB30" s="1441">
        <f t="shared" si="31"/>
        <v>0</v>
      </c>
      <c r="AC30" s="1441">
        <f t="shared" si="31"/>
        <v>0</v>
      </c>
      <c r="AD30" s="1441">
        <f t="shared" si="31"/>
        <v>0</v>
      </c>
      <c r="AE30" s="1441">
        <f t="shared" si="31"/>
        <v>0</v>
      </c>
      <c r="AF30" s="1441">
        <f t="shared" si="31"/>
        <v>0</v>
      </c>
      <c r="AG30" s="1441">
        <f t="shared" si="31"/>
        <v>0</v>
      </c>
      <c r="AH30" s="1441">
        <f t="shared" si="31"/>
        <v>0</v>
      </c>
      <c r="AI30" s="1441">
        <f t="shared" si="31"/>
        <v>0</v>
      </c>
      <c r="AJ30" s="1441">
        <f t="shared" si="31"/>
        <v>0</v>
      </c>
      <c r="AK30" s="1441">
        <f t="shared" si="31"/>
        <v>0</v>
      </c>
      <c r="AL30" s="1441">
        <f t="shared" si="31"/>
        <v>0</v>
      </c>
      <c r="AM30" s="1441">
        <f t="shared" si="31"/>
        <v>0</v>
      </c>
      <c r="AN30" s="1441">
        <f t="shared" si="31"/>
        <v>0</v>
      </c>
      <c r="AO30" s="1441">
        <f t="shared" si="31"/>
        <v>0</v>
      </c>
      <c r="AP30" s="1441">
        <f t="shared" si="31"/>
        <v>0</v>
      </c>
      <c r="AQ30" s="1441">
        <f t="shared" si="31"/>
        <v>0</v>
      </c>
      <c r="AR30" s="1441">
        <f t="shared" si="31"/>
        <v>0</v>
      </c>
      <c r="AS30" s="1441">
        <f t="shared" si="31"/>
        <v>0</v>
      </c>
      <c r="AT30" s="1441">
        <f t="shared" si="31"/>
        <v>0</v>
      </c>
      <c r="AU30" s="1441">
        <f t="shared" si="31"/>
        <v>0</v>
      </c>
      <c r="AV30" s="1441">
        <f t="shared" si="31"/>
        <v>0</v>
      </c>
      <c r="AW30" s="1441">
        <f t="shared" si="31"/>
        <v>0</v>
      </c>
      <c r="AX30" s="1441">
        <f t="shared" si="31"/>
        <v>0</v>
      </c>
      <c r="AY30" s="1441">
        <f t="shared" si="31"/>
        <v>0</v>
      </c>
      <c r="AZ30" s="1441">
        <f t="shared" si="31"/>
        <v>0</v>
      </c>
      <c r="BA30" s="1441">
        <f t="shared" si="31"/>
        <v>0</v>
      </c>
      <c r="BB30" s="1441">
        <f t="shared" si="31"/>
        <v>0</v>
      </c>
      <c r="BC30" s="1441">
        <f t="shared" si="31"/>
        <v>0</v>
      </c>
      <c r="BD30" s="1441">
        <f t="shared" si="31"/>
        <v>0</v>
      </c>
      <c r="BE30" s="1441">
        <f t="shared" si="31"/>
        <v>0</v>
      </c>
      <c r="BF30" s="1441">
        <f t="shared" si="31"/>
        <v>0</v>
      </c>
      <c r="BG30" s="1441">
        <f t="shared" si="31"/>
        <v>0</v>
      </c>
      <c r="BH30" s="1441">
        <f t="shared" si="31"/>
        <v>0</v>
      </c>
      <c r="BI30" s="1441">
        <f t="shared" si="31"/>
        <v>0</v>
      </c>
      <c r="BJ30" s="1441">
        <f t="shared" si="31"/>
        <v>0</v>
      </c>
      <c r="BK30" s="1441">
        <f t="shared" si="31"/>
        <v>0</v>
      </c>
      <c r="BL30" s="1441">
        <f t="shared" si="31"/>
        <v>0</v>
      </c>
    </row>
    <row r="31" spans="2:64">
      <c r="B31" s="1410" t="s">
        <v>1364</v>
      </c>
      <c r="C31" s="1449">
        <v>0</v>
      </c>
      <c r="D31" s="1410"/>
      <c r="E31" s="1441">
        <f>-$C31*$C$9*E7</f>
        <v>0</v>
      </c>
      <c r="F31" s="1441">
        <f t="shared" ref="F31:P31" si="32">-$C31*$C$9*F7</f>
        <v>0</v>
      </c>
      <c r="G31" s="1441">
        <f t="shared" si="32"/>
        <v>0</v>
      </c>
      <c r="H31" s="1441">
        <f t="shared" si="32"/>
        <v>0</v>
      </c>
      <c r="I31" s="1441">
        <f t="shared" si="32"/>
        <v>0</v>
      </c>
      <c r="J31" s="1441">
        <f t="shared" si="32"/>
        <v>0</v>
      </c>
      <c r="K31" s="1441">
        <f t="shared" si="32"/>
        <v>0</v>
      </c>
      <c r="L31" s="1441">
        <f t="shared" si="32"/>
        <v>0</v>
      </c>
      <c r="M31" s="1441">
        <f t="shared" si="32"/>
        <v>0</v>
      </c>
      <c r="N31" s="1441">
        <f t="shared" si="32"/>
        <v>0</v>
      </c>
      <c r="O31" s="1441">
        <f t="shared" si="32"/>
        <v>0</v>
      </c>
      <c r="P31" s="1441">
        <f t="shared" si="32"/>
        <v>0</v>
      </c>
      <c r="Q31" s="1441">
        <f>-$C31*$C$9*Q7</f>
        <v>0</v>
      </c>
      <c r="R31" s="1441">
        <f t="shared" ref="R31:BL31" si="33">-$C31*$C$9*R7</f>
        <v>0</v>
      </c>
      <c r="S31" s="1441">
        <f t="shared" si="33"/>
        <v>0</v>
      </c>
      <c r="T31" s="1441">
        <f t="shared" si="33"/>
        <v>0</v>
      </c>
      <c r="U31" s="1441">
        <f t="shared" si="33"/>
        <v>0</v>
      </c>
      <c r="V31" s="1441">
        <f t="shared" si="33"/>
        <v>0</v>
      </c>
      <c r="W31" s="1441">
        <f t="shared" si="33"/>
        <v>0</v>
      </c>
      <c r="X31" s="1441">
        <f t="shared" si="33"/>
        <v>0</v>
      </c>
      <c r="Y31" s="1441">
        <f t="shared" si="33"/>
        <v>0</v>
      </c>
      <c r="Z31" s="1441">
        <f t="shared" si="33"/>
        <v>0</v>
      </c>
      <c r="AA31" s="1441">
        <f t="shared" si="33"/>
        <v>0</v>
      </c>
      <c r="AB31" s="1441">
        <f t="shared" si="33"/>
        <v>0</v>
      </c>
      <c r="AC31" s="1441">
        <f t="shared" si="33"/>
        <v>0</v>
      </c>
      <c r="AD31" s="1441">
        <f t="shared" si="33"/>
        <v>0</v>
      </c>
      <c r="AE31" s="1441">
        <f t="shared" si="33"/>
        <v>0</v>
      </c>
      <c r="AF31" s="1441">
        <f t="shared" si="33"/>
        <v>0</v>
      </c>
      <c r="AG31" s="1441">
        <f t="shared" si="33"/>
        <v>0</v>
      </c>
      <c r="AH31" s="1441">
        <f t="shared" si="33"/>
        <v>0</v>
      </c>
      <c r="AI31" s="1441">
        <f t="shared" si="33"/>
        <v>0</v>
      </c>
      <c r="AJ31" s="1441">
        <f t="shared" si="33"/>
        <v>0</v>
      </c>
      <c r="AK31" s="1441">
        <f t="shared" si="33"/>
        <v>0</v>
      </c>
      <c r="AL31" s="1441">
        <f t="shared" si="33"/>
        <v>0</v>
      </c>
      <c r="AM31" s="1441">
        <f t="shared" si="33"/>
        <v>0</v>
      </c>
      <c r="AN31" s="1441">
        <f t="shared" si="33"/>
        <v>0</v>
      </c>
      <c r="AO31" s="1441">
        <f t="shared" si="33"/>
        <v>0</v>
      </c>
      <c r="AP31" s="1441">
        <f t="shared" si="33"/>
        <v>0</v>
      </c>
      <c r="AQ31" s="1441">
        <f t="shared" si="33"/>
        <v>0</v>
      </c>
      <c r="AR31" s="1441">
        <f t="shared" si="33"/>
        <v>0</v>
      </c>
      <c r="AS31" s="1441">
        <f t="shared" si="33"/>
        <v>0</v>
      </c>
      <c r="AT31" s="1441">
        <f t="shared" si="33"/>
        <v>0</v>
      </c>
      <c r="AU31" s="1441">
        <f t="shared" si="33"/>
        <v>0</v>
      </c>
      <c r="AV31" s="1441">
        <f t="shared" si="33"/>
        <v>0</v>
      </c>
      <c r="AW31" s="1441">
        <f t="shared" si="33"/>
        <v>0</v>
      </c>
      <c r="AX31" s="1441">
        <f t="shared" si="33"/>
        <v>0</v>
      </c>
      <c r="AY31" s="1441">
        <f t="shared" si="33"/>
        <v>0</v>
      </c>
      <c r="AZ31" s="1441">
        <f t="shared" si="33"/>
        <v>0</v>
      </c>
      <c r="BA31" s="1441">
        <f t="shared" si="33"/>
        <v>0</v>
      </c>
      <c r="BB31" s="1441">
        <f t="shared" si="33"/>
        <v>0</v>
      </c>
      <c r="BC31" s="1441">
        <f t="shared" si="33"/>
        <v>0</v>
      </c>
      <c r="BD31" s="1441">
        <f t="shared" si="33"/>
        <v>0</v>
      </c>
      <c r="BE31" s="1441">
        <f t="shared" si="33"/>
        <v>0</v>
      </c>
      <c r="BF31" s="1441">
        <f t="shared" si="33"/>
        <v>0</v>
      </c>
      <c r="BG31" s="1441">
        <f t="shared" si="33"/>
        <v>0</v>
      </c>
      <c r="BH31" s="1441">
        <f t="shared" si="33"/>
        <v>0</v>
      </c>
      <c r="BI31" s="1441">
        <f t="shared" si="33"/>
        <v>0</v>
      </c>
      <c r="BJ31" s="1441">
        <f t="shared" si="33"/>
        <v>0</v>
      </c>
      <c r="BK31" s="1441">
        <f t="shared" si="33"/>
        <v>0</v>
      </c>
      <c r="BL31" s="1441">
        <f t="shared" si="33"/>
        <v>0</v>
      </c>
    </row>
    <row r="32" spans="2:64">
      <c r="B32" s="1410"/>
      <c r="C32" s="1410"/>
      <c r="D32" s="1410"/>
      <c r="E32" s="1410"/>
      <c r="F32" s="1410"/>
      <c r="G32" s="1410"/>
      <c r="H32" s="1410"/>
      <c r="Q32" s="1410"/>
      <c r="R32" s="1410"/>
      <c r="S32" s="1410"/>
      <c r="T32" s="1410"/>
      <c r="AC32" s="1410"/>
      <c r="AD32" s="1410"/>
      <c r="AE32" s="1410"/>
      <c r="AF32" s="1410"/>
      <c r="AO32" s="1410"/>
      <c r="AP32" s="1410"/>
      <c r="AQ32" s="1410"/>
      <c r="AR32" s="1410"/>
      <c r="BA32" s="1410"/>
      <c r="BB32" s="1410"/>
      <c r="BC32" s="1410"/>
      <c r="BD32" s="1410"/>
    </row>
    <row r="33" spans="2:64">
      <c r="B33" s="1448" t="s">
        <v>646</v>
      </c>
      <c r="C33" s="1410"/>
      <c r="D33" s="1410"/>
      <c r="E33" s="1410"/>
      <c r="F33" s="1410"/>
      <c r="G33" s="1410"/>
      <c r="H33" s="1410"/>
      <c r="Q33" s="1410"/>
      <c r="R33" s="1410"/>
      <c r="S33" s="1410"/>
      <c r="T33" s="1410"/>
      <c r="AC33" s="1410"/>
      <c r="AD33" s="1410"/>
      <c r="AE33" s="1410"/>
      <c r="AF33" s="1410"/>
      <c r="AO33" s="1410"/>
      <c r="AP33" s="1410"/>
      <c r="AQ33" s="1410"/>
      <c r="AR33" s="1410"/>
      <c r="BA33" s="1410"/>
      <c r="BB33" s="1410"/>
      <c r="BC33" s="1410"/>
      <c r="BD33" s="1410"/>
    </row>
    <row r="34" spans="2:64">
      <c r="B34" s="1410" t="s">
        <v>1365</v>
      </c>
      <c r="C34" s="450">
        <v>120</v>
      </c>
      <c r="D34" s="1410"/>
      <c r="E34" s="1441">
        <f>-$C34*E25</f>
        <v>-35000</v>
      </c>
      <c r="F34" s="1441">
        <f t="shared" ref="F34:P34" si="34">-$C34*F25</f>
        <v>-35000</v>
      </c>
      <c r="G34" s="1441">
        <f t="shared" si="34"/>
        <v>-35000</v>
      </c>
      <c r="H34" s="1441">
        <f t="shared" si="34"/>
        <v>-35000</v>
      </c>
      <c r="I34" s="1441">
        <f t="shared" si="34"/>
        <v>-35000</v>
      </c>
      <c r="J34" s="1441">
        <f t="shared" si="34"/>
        <v>-35000</v>
      </c>
      <c r="K34" s="1441">
        <f t="shared" si="34"/>
        <v>-35000</v>
      </c>
      <c r="L34" s="1441">
        <f t="shared" si="34"/>
        <v>-35000</v>
      </c>
      <c r="M34" s="1441">
        <f t="shared" si="34"/>
        <v>-35000</v>
      </c>
      <c r="N34" s="1441">
        <f t="shared" si="34"/>
        <v>-35000</v>
      </c>
      <c r="O34" s="1441">
        <f t="shared" si="34"/>
        <v>-35000</v>
      </c>
      <c r="P34" s="1441">
        <f t="shared" si="34"/>
        <v>-35000</v>
      </c>
      <c r="Q34" s="1441">
        <f>-$C34*Q25</f>
        <v>-1550000</v>
      </c>
      <c r="R34" s="1441">
        <f t="shared" ref="R34:BL34" si="35">-$C34*R25</f>
        <v>-1550000</v>
      </c>
      <c r="S34" s="1441">
        <f t="shared" si="35"/>
        <v>-1550000</v>
      </c>
      <c r="T34" s="1441">
        <f t="shared" si="35"/>
        <v>-1550000</v>
      </c>
      <c r="U34" s="1441">
        <f t="shared" si="35"/>
        <v>-1550000</v>
      </c>
      <c r="V34" s="1441">
        <f t="shared" si="35"/>
        <v>-1550000</v>
      </c>
      <c r="W34" s="1441">
        <f t="shared" si="35"/>
        <v>-1550000</v>
      </c>
      <c r="X34" s="1441">
        <f t="shared" si="35"/>
        <v>-1550000</v>
      </c>
      <c r="Y34" s="1441">
        <f t="shared" si="35"/>
        <v>-1550000</v>
      </c>
      <c r="Z34" s="1441">
        <f t="shared" si="35"/>
        <v>-1550000</v>
      </c>
      <c r="AA34" s="1441">
        <f t="shared" si="35"/>
        <v>-1550000</v>
      </c>
      <c r="AB34" s="1441">
        <f t="shared" si="35"/>
        <v>-1550000</v>
      </c>
      <c r="AC34" s="1441">
        <f t="shared" si="35"/>
        <v>-1600000</v>
      </c>
      <c r="AD34" s="1441">
        <f t="shared" si="35"/>
        <v>-1600000</v>
      </c>
      <c r="AE34" s="1441">
        <f t="shared" si="35"/>
        <v>-1600000</v>
      </c>
      <c r="AF34" s="1441">
        <f t="shared" si="35"/>
        <v>-1600000</v>
      </c>
      <c r="AG34" s="1441">
        <f t="shared" si="35"/>
        <v>-1600000</v>
      </c>
      <c r="AH34" s="1441">
        <f t="shared" si="35"/>
        <v>-1600000</v>
      </c>
      <c r="AI34" s="1441">
        <f t="shared" si="35"/>
        <v>-1600000</v>
      </c>
      <c r="AJ34" s="1441">
        <f t="shared" si="35"/>
        <v>-1600000</v>
      </c>
      <c r="AK34" s="1441">
        <f t="shared" si="35"/>
        <v>-1600000</v>
      </c>
      <c r="AL34" s="1441">
        <f t="shared" si="35"/>
        <v>-1600000</v>
      </c>
      <c r="AM34" s="1441">
        <f t="shared" si="35"/>
        <v>-1600000</v>
      </c>
      <c r="AN34" s="1441">
        <f t="shared" si="35"/>
        <v>-1600000</v>
      </c>
      <c r="AO34" s="1441">
        <f t="shared" si="35"/>
        <v>-1650000</v>
      </c>
      <c r="AP34" s="1441">
        <f t="shared" si="35"/>
        <v>-1650000</v>
      </c>
      <c r="AQ34" s="1441">
        <f t="shared" si="35"/>
        <v>-1650000</v>
      </c>
      <c r="AR34" s="1441">
        <f t="shared" si="35"/>
        <v>-1650000</v>
      </c>
      <c r="AS34" s="1441">
        <f t="shared" si="35"/>
        <v>-1650000</v>
      </c>
      <c r="AT34" s="1441">
        <f t="shared" si="35"/>
        <v>-1650000</v>
      </c>
      <c r="AU34" s="1441">
        <f t="shared" si="35"/>
        <v>-1650000</v>
      </c>
      <c r="AV34" s="1441">
        <f t="shared" si="35"/>
        <v>-1650000</v>
      </c>
      <c r="AW34" s="1441">
        <f t="shared" si="35"/>
        <v>-1650000</v>
      </c>
      <c r="AX34" s="1441">
        <f t="shared" si="35"/>
        <v>-1650000</v>
      </c>
      <c r="AY34" s="1441">
        <f t="shared" si="35"/>
        <v>-1650000</v>
      </c>
      <c r="AZ34" s="1441">
        <f t="shared" si="35"/>
        <v>-1650000</v>
      </c>
      <c r="BA34" s="1441">
        <f t="shared" si="35"/>
        <v>-1700000</v>
      </c>
      <c r="BB34" s="1441">
        <f t="shared" si="35"/>
        <v>-1700000</v>
      </c>
      <c r="BC34" s="1441">
        <f t="shared" si="35"/>
        <v>-1700000</v>
      </c>
      <c r="BD34" s="1441">
        <f t="shared" si="35"/>
        <v>-1700000</v>
      </c>
      <c r="BE34" s="1441">
        <f t="shared" si="35"/>
        <v>-1700000</v>
      </c>
      <c r="BF34" s="1441">
        <f t="shared" si="35"/>
        <v>-1700000</v>
      </c>
      <c r="BG34" s="1441">
        <f t="shared" si="35"/>
        <v>-1700000</v>
      </c>
      <c r="BH34" s="1441">
        <f t="shared" si="35"/>
        <v>-1700000</v>
      </c>
      <c r="BI34" s="1441">
        <f t="shared" si="35"/>
        <v>-1700000</v>
      </c>
      <c r="BJ34" s="1441">
        <f t="shared" si="35"/>
        <v>-1700000</v>
      </c>
      <c r="BK34" s="1441">
        <f t="shared" si="35"/>
        <v>-1700000</v>
      </c>
      <c r="BL34" s="1441">
        <f t="shared" si="35"/>
        <v>-1700000</v>
      </c>
    </row>
    <row r="35" spans="2:64">
      <c r="B35" s="1410" t="s">
        <v>1366</v>
      </c>
      <c r="C35" s="450">
        <v>200</v>
      </c>
      <c r="D35" s="1410"/>
      <c r="E35" s="1410"/>
      <c r="F35" s="1441">
        <f>-$C35*F25</f>
        <v>-58333.333333333336</v>
      </c>
      <c r="G35" s="1441">
        <f t="shared" ref="G35:P35" si="36">-$C35*G25</f>
        <v>-58333.333333333336</v>
      </c>
      <c r="H35" s="1441">
        <f t="shared" si="36"/>
        <v>-58333.333333333336</v>
      </c>
      <c r="I35" s="1441">
        <f t="shared" si="36"/>
        <v>-58333.333333333336</v>
      </c>
      <c r="J35" s="1441">
        <f t="shared" si="36"/>
        <v>-58333.333333333336</v>
      </c>
      <c r="K35" s="1441">
        <f t="shared" si="36"/>
        <v>-58333.333333333336</v>
      </c>
      <c r="L35" s="1441">
        <f t="shared" si="36"/>
        <v>-58333.333333333336</v>
      </c>
      <c r="M35" s="1441">
        <f t="shared" si="36"/>
        <v>-58333.333333333336</v>
      </c>
      <c r="N35" s="1441">
        <f t="shared" si="36"/>
        <v>-58333.333333333336</v>
      </c>
      <c r="O35" s="1441">
        <f t="shared" si="36"/>
        <v>-58333.333333333336</v>
      </c>
      <c r="P35" s="1441">
        <f t="shared" si="36"/>
        <v>-58333.333333333336</v>
      </c>
      <c r="Q35" s="1441">
        <f>-$C35*Q25</f>
        <v>-2583333.333333333</v>
      </c>
      <c r="R35" s="1441">
        <f>-$C35*R25</f>
        <v>-2583333.333333333</v>
      </c>
      <c r="S35" s="1441">
        <f t="shared" ref="S35:BL35" si="37">-$C35*S25</f>
        <v>-2583333.333333333</v>
      </c>
      <c r="T35" s="1441">
        <f t="shared" si="37"/>
        <v>-2583333.333333333</v>
      </c>
      <c r="U35" s="1441">
        <f t="shared" si="37"/>
        <v>-2583333.333333333</v>
      </c>
      <c r="V35" s="1441">
        <f t="shared" si="37"/>
        <v>-2583333.333333333</v>
      </c>
      <c r="W35" s="1441">
        <f t="shared" si="37"/>
        <v>-2583333.333333333</v>
      </c>
      <c r="X35" s="1441">
        <f t="shared" si="37"/>
        <v>-2583333.333333333</v>
      </c>
      <c r="Y35" s="1441">
        <f t="shared" si="37"/>
        <v>-2583333.333333333</v>
      </c>
      <c r="Z35" s="1441">
        <f t="shared" si="37"/>
        <v>-2583333.333333333</v>
      </c>
      <c r="AA35" s="1441">
        <f t="shared" si="37"/>
        <v>-2583333.333333333</v>
      </c>
      <c r="AB35" s="1441">
        <f t="shared" si="37"/>
        <v>-2583333.333333333</v>
      </c>
      <c r="AC35" s="1441">
        <f t="shared" si="37"/>
        <v>-2666666.666666667</v>
      </c>
      <c r="AD35" s="1441">
        <f t="shared" si="37"/>
        <v>-2666666.666666667</v>
      </c>
      <c r="AE35" s="1441">
        <f t="shared" si="37"/>
        <v>-2666666.666666667</v>
      </c>
      <c r="AF35" s="1441">
        <f t="shared" si="37"/>
        <v>-2666666.666666667</v>
      </c>
      <c r="AG35" s="1441">
        <f t="shared" si="37"/>
        <v>-2666666.666666667</v>
      </c>
      <c r="AH35" s="1441">
        <f t="shared" si="37"/>
        <v>-2666666.666666667</v>
      </c>
      <c r="AI35" s="1441">
        <f t="shared" si="37"/>
        <v>-2666666.666666667</v>
      </c>
      <c r="AJ35" s="1441">
        <f t="shared" si="37"/>
        <v>-2666666.666666667</v>
      </c>
      <c r="AK35" s="1441">
        <f t="shared" si="37"/>
        <v>-2666666.666666667</v>
      </c>
      <c r="AL35" s="1441">
        <f t="shared" si="37"/>
        <v>-2666666.666666667</v>
      </c>
      <c r="AM35" s="1441">
        <f t="shared" si="37"/>
        <v>-2666666.666666667</v>
      </c>
      <c r="AN35" s="1441">
        <f t="shared" si="37"/>
        <v>-2666666.666666667</v>
      </c>
      <c r="AO35" s="1441">
        <f t="shared" si="37"/>
        <v>-2750000</v>
      </c>
      <c r="AP35" s="1441">
        <f t="shared" si="37"/>
        <v>-2750000</v>
      </c>
      <c r="AQ35" s="1441">
        <f t="shared" si="37"/>
        <v>-2750000</v>
      </c>
      <c r="AR35" s="1441">
        <f t="shared" si="37"/>
        <v>-2750000</v>
      </c>
      <c r="AS35" s="1441">
        <f t="shared" si="37"/>
        <v>-2750000</v>
      </c>
      <c r="AT35" s="1441">
        <f t="shared" si="37"/>
        <v>-2750000</v>
      </c>
      <c r="AU35" s="1441">
        <f t="shared" si="37"/>
        <v>-2750000</v>
      </c>
      <c r="AV35" s="1441">
        <f t="shared" si="37"/>
        <v>-2750000</v>
      </c>
      <c r="AW35" s="1441">
        <f t="shared" si="37"/>
        <v>-2750000</v>
      </c>
      <c r="AX35" s="1441">
        <f t="shared" si="37"/>
        <v>-2750000</v>
      </c>
      <c r="AY35" s="1441">
        <f t="shared" si="37"/>
        <v>-2750000</v>
      </c>
      <c r="AZ35" s="1441">
        <f t="shared" si="37"/>
        <v>-2750000</v>
      </c>
      <c r="BA35" s="1441">
        <f t="shared" si="37"/>
        <v>-2833333.333333333</v>
      </c>
      <c r="BB35" s="1441">
        <f t="shared" si="37"/>
        <v>-2833333.333333333</v>
      </c>
      <c r="BC35" s="1441">
        <f t="shared" si="37"/>
        <v>-2833333.333333333</v>
      </c>
      <c r="BD35" s="1441">
        <f t="shared" si="37"/>
        <v>-2833333.333333333</v>
      </c>
      <c r="BE35" s="1441">
        <f t="shared" si="37"/>
        <v>-2833333.333333333</v>
      </c>
      <c r="BF35" s="1441">
        <f t="shared" si="37"/>
        <v>-2833333.333333333</v>
      </c>
      <c r="BG35" s="1441">
        <f t="shared" si="37"/>
        <v>-2833333.333333333</v>
      </c>
      <c r="BH35" s="1441">
        <f t="shared" si="37"/>
        <v>-2833333.333333333</v>
      </c>
      <c r="BI35" s="1441">
        <f t="shared" si="37"/>
        <v>-2833333.333333333</v>
      </c>
      <c r="BJ35" s="1441">
        <f t="shared" si="37"/>
        <v>-2833333.333333333</v>
      </c>
      <c r="BK35" s="1441">
        <f t="shared" si="37"/>
        <v>-2833333.333333333</v>
      </c>
      <c r="BL35" s="1441">
        <f t="shared" si="37"/>
        <v>-2833333.333333333</v>
      </c>
    </row>
    <row r="36" spans="2:64">
      <c r="B36" s="1410" t="s">
        <v>1367</v>
      </c>
      <c r="C36" s="450">
        <v>0</v>
      </c>
      <c r="D36" s="1410"/>
      <c r="E36" s="1410"/>
      <c r="F36" s="1410"/>
      <c r="G36" s="1441">
        <f>-$C36*G25</f>
        <v>0</v>
      </c>
      <c r="H36" s="1441">
        <f t="shared" ref="H36:P36" si="38">-$C36*H25</f>
        <v>0</v>
      </c>
      <c r="I36" s="1441">
        <f t="shared" si="38"/>
        <v>0</v>
      </c>
      <c r="J36" s="1441">
        <f t="shared" si="38"/>
        <v>0</v>
      </c>
      <c r="K36" s="1441">
        <f t="shared" si="38"/>
        <v>0</v>
      </c>
      <c r="L36" s="1441">
        <f t="shared" si="38"/>
        <v>0</v>
      </c>
      <c r="M36" s="1441">
        <f t="shared" si="38"/>
        <v>0</v>
      </c>
      <c r="N36" s="1441">
        <f t="shared" si="38"/>
        <v>0</v>
      </c>
      <c r="O36" s="1441">
        <f t="shared" si="38"/>
        <v>0</v>
      </c>
      <c r="P36" s="1441">
        <f t="shared" si="38"/>
        <v>0</v>
      </c>
      <c r="Q36" s="1441">
        <f>-$C36*Q25</f>
        <v>0</v>
      </c>
      <c r="R36" s="1441">
        <f>-$C36*R25</f>
        <v>0</v>
      </c>
      <c r="S36" s="1441">
        <f>-$C36*S25</f>
        <v>0</v>
      </c>
      <c r="T36" s="1441">
        <f t="shared" ref="T36:BL36" si="39">-$C36*T25</f>
        <v>0</v>
      </c>
      <c r="U36" s="1441">
        <f t="shared" si="39"/>
        <v>0</v>
      </c>
      <c r="V36" s="1441">
        <f t="shared" si="39"/>
        <v>0</v>
      </c>
      <c r="W36" s="1441">
        <f t="shared" si="39"/>
        <v>0</v>
      </c>
      <c r="X36" s="1441">
        <f t="shared" si="39"/>
        <v>0</v>
      </c>
      <c r="Y36" s="1441">
        <f t="shared" si="39"/>
        <v>0</v>
      </c>
      <c r="Z36" s="1441">
        <f t="shared" si="39"/>
        <v>0</v>
      </c>
      <c r="AA36" s="1441">
        <f t="shared" si="39"/>
        <v>0</v>
      </c>
      <c r="AB36" s="1441">
        <f t="shared" si="39"/>
        <v>0</v>
      </c>
      <c r="AC36" s="1441">
        <f t="shared" si="39"/>
        <v>0</v>
      </c>
      <c r="AD36" s="1441">
        <f t="shared" si="39"/>
        <v>0</v>
      </c>
      <c r="AE36" s="1441">
        <f t="shared" si="39"/>
        <v>0</v>
      </c>
      <c r="AF36" s="1441">
        <f t="shared" si="39"/>
        <v>0</v>
      </c>
      <c r="AG36" s="1441">
        <f t="shared" si="39"/>
        <v>0</v>
      </c>
      <c r="AH36" s="1441">
        <f t="shared" si="39"/>
        <v>0</v>
      </c>
      <c r="AI36" s="1441">
        <f t="shared" si="39"/>
        <v>0</v>
      </c>
      <c r="AJ36" s="1441">
        <f t="shared" si="39"/>
        <v>0</v>
      </c>
      <c r="AK36" s="1441">
        <f t="shared" si="39"/>
        <v>0</v>
      </c>
      <c r="AL36" s="1441">
        <f t="shared" si="39"/>
        <v>0</v>
      </c>
      <c r="AM36" s="1441">
        <f t="shared" si="39"/>
        <v>0</v>
      </c>
      <c r="AN36" s="1441">
        <f t="shared" si="39"/>
        <v>0</v>
      </c>
      <c r="AO36" s="1441">
        <f t="shared" si="39"/>
        <v>0</v>
      </c>
      <c r="AP36" s="1441">
        <f t="shared" si="39"/>
        <v>0</v>
      </c>
      <c r="AQ36" s="1441">
        <f t="shared" si="39"/>
        <v>0</v>
      </c>
      <c r="AR36" s="1441">
        <f t="shared" si="39"/>
        <v>0</v>
      </c>
      <c r="AS36" s="1441">
        <f t="shared" si="39"/>
        <v>0</v>
      </c>
      <c r="AT36" s="1441">
        <f t="shared" si="39"/>
        <v>0</v>
      </c>
      <c r="AU36" s="1441">
        <f t="shared" si="39"/>
        <v>0</v>
      </c>
      <c r="AV36" s="1441">
        <f t="shared" si="39"/>
        <v>0</v>
      </c>
      <c r="AW36" s="1441">
        <f t="shared" si="39"/>
        <v>0</v>
      </c>
      <c r="AX36" s="1441">
        <f t="shared" si="39"/>
        <v>0</v>
      </c>
      <c r="AY36" s="1441">
        <f t="shared" si="39"/>
        <v>0</v>
      </c>
      <c r="AZ36" s="1441">
        <f t="shared" si="39"/>
        <v>0</v>
      </c>
      <c r="BA36" s="1441">
        <f t="shared" si="39"/>
        <v>0</v>
      </c>
      <c r="BB36" s="1441">
        <f t="shared" si="39"/>
        <v>0</v>
      </c>
      <c r="BC36" s="1441">
        <f t="shared" si="39"/>
        <v>0</v>
      </c>
      <c r="BD36" s="1441">
        <f t="shared" si="39"/>
        <v>0</v>
      </c>
      <c r="BE36" s="1441">
        <f t="shared" si="39"/>
        <v>0</v>
      </c>
      <c r="BF36" s="1441">
        <f t="shared" si="39"/>
        <v>0</v>
      </c>
      <c r="BG36" s="1441">
        <f t="shared" si="39"/>
        <v>0</v>
      </c>
      <c r="BH36" s="1441">
        <f t="shared" si="39"/>
        <v>0</v>
      </c>
      <c r="BI36" s="1441">
        <f t="shared" si="39"/>
        <v>0</v>
      </c>
      <c r="BJ36" s="1441">
        <f t="shared" si="39"/>
        <v>0</v>
      </c>
      <c r="BK36" s="1441">
        <f t="shared" si="39"/>
        <v>0</v>
      </c>
      <c r="BL36" s="1441">
        <f t="shared" si="39"/>
        <v>0</v>
      </c>
    </row>
    <row r="37" spans="2:64">
      <c r="B37" s="1410" t="s">
        <v>650</v>
      </c>
      <c r="C37" s="450">
        <v>0</v>
      </c>
      <c r="D37" s="1410"/>
      <c r="E37" s="1410"/>
      <c r="F37" s="1410"/>
      <c r="G37" s="1410"/>
      <c r="H37" s="1441">
        <f>-$C37*H25</f>
        <v>0</v>
      </c>
      <c r="I37" s="1441">
        <f t="shared" ref="I37:P37" si="40">-$C37*I25</f>
        <v>0</v>
      </c>
      <c r="J37" s="1441">
        <f t="shared" si="40"/>
        <v>0</v>
      </c>
      <c r="K37" s="1441">
        <f t="shared" si="40"/>
        <v>0</v>
      </c>
      <c r="L37" s="1441">
        <f t="shared" si="40"/>
        <v>0</v>
      </c>
      <c r="M37" s="1441">
        <f t="shared" si="40"/>
        <v>0</v>
      </c>
      <c r="N37" s="1441">
        <f t="shared" si="40"/>
        <v>0</v>
      </c>
      <c r="O37" s="1441">
        <f t="shared" si="40"/>
        <v>0</v>
      </c>
      <c r="P37" s="1441">
        <f t="shared" si="40"/>
        <v>0</v>
      </c>
      <c r="Q37" s="1441">
        <f>-$C37*Q25</f>
        <v>0</v>
      </c>
      <c r="R37" s="1441">
        <f>-$C37*R25</f>
        <v>0</v>
      </c>
      <c r="S37" s="1441">
        <f>-$C37*S25</f>
        <v>0</v>
      </c>
      <c r="T37" s="1441">
        <f>-$C37*T25</f>
        <v>0</v>
      </c>
      <c r="U37" s="1441">
        <f t="shared" ref="U37:BL37" si="41">-$C37*U25</f>
        <v>0</v>
      </c>
      <c r="V37" s="1441">
        <f t="shared" si="41"/>
        <v>0</v>
      </c>
      <c r="W37" s="1441">
        <f t="shared" si="41"/>
        <v>0</v>
      </c>
      <c r="X37" s="1441">
        <f t="shared" si="41"/>
        <v>0</v>
      </c>
      <c r="Y37" s="1441">
        <f t="shared" si="41"/>
        <v>0</v>
      </c>
      <c r="Z37" s="1441">
        <f t="shared" si="41"/>
        <v>0</v>
      </c>
      <c r="AA37" s="1441">
        <f t="shared" si="41"/>
        <v>0</v>
      </c>
      <c r="AB37" s="1441">
        <f t="shared" si="41"/>
        <v>0</v>
      </c>
      <c r="AC37" s="1441">
        <f t="shared" si="41"/>
        <v>0</v>
      </c>
      <c r="AD37" s="1441">
        <f t="shared" si="41"/>
        <v>0</v>
      </c>
      <c r="AE37" s="1441">
        <f t="shared" si="41"/>
        <v>0</v>
      </c>
      <c r="AF37" s="1441">
        <f t="shared" si="41"/>
        <v>0</v>
      </c>
      <c r="AG37" s="1441">
        <f t="shared" si="41"/>
        <v>0</v>
      </c>
      <c r="AH37" s="1441">
        <f t="shared" si="41"/>
        <v>0</v>
      </c>
      <c r="AI37" s="1441">
        <f t="shared" si="41"/>
        <v>0</v>
      </c>
      <c r="AJ37" s="1441">
        <f t="shared" si="41"/>
        <v>0</v>
      </c>
      <c r="AK37" s="1441">
        <f t="shared" si="41"/>
        <v>0</v>
      </c>
      <c r="AL37" s="1441">
        <f t="shared" si="41"/>
        <v>0</v>
      </c>
      <c r="AM37" s="1441">
        <f t="shared" si="41"/>
        <v>0</v>
      </c>
      <c r="AN37" s="1441">
        <f t="shared" si="41"/>
        <v>0</v>
      </c>
      <c r="AO37" s="1441">
        <f t="shared" si="41"/>
        <v>0</v>
      </c>
      <c r="AP37" s="1441">
        <f t="shared" si="41"/>
        <v>0</v>
      </c>
      <c r="AQ37" s="1441">
        <f t="shared" si="41"/>
        <v>0</v>
      </c>
      <c r="AR37" s="1441">
        <f t="shared" si="41"/>
        <v>0</v>
      </c>
      <c r="AS37" s="1441">
        <f t="shared" si="41"/>
        <v>0</v>
      </c>
      <c r="AT37" s="1441">
        <f t="shared" si="41"/>
        <v>0</v>
      </c>
      <c r="AU37" s="1441">
        <f t="shared" si="41"/>
        <v>0</v>
      </c>
      <c r="AV37" s="1441">
        <f t="shared" si="41"/>
        <v>0</v>
      </c>
      <c r="AW37" s="1441">
        <f t="shared" si="41"/>
        <v>0</v>
      </c>
      <c r="AX37" s="1441">
        <f t="shared" si="41"/>
        <v>0</v>
      </c>
      <c r="AY37" s="1441">
        <f t="shared" si="41"/>
        <v>0</v>
      </c>
      <c r="AZ37" s="1441">
        <f t="shared" si="41"/>
        <v>0</v>
      </c>
      <c r="BA37" s="1441">
        <f t="shared" si="41"/>
        <v>0</v>
      </c>
      <c r="BB37" s="1441">
        <f t="shared" si="41"/>
        <v>0</v>
      </c>
      <c r="BC37" s="1441">
        <f t="shared" si="41"/>
        <v>0</v>
      </c>
      <c r="BD37" s="1441">
        <f t="shared" si="41"/>
        <v>0</v>
      </c>
      <c r="BE37" s="1441">
        <f t="shared" si="41"/>
        <v>0</v>
      </c>
      <c r="BF37" s="1441">
        <f t="shared" si="41"/>
        <v>0</v>
      </c>
      <c r="BG37" s="1441">
        <f t="shared" si="41"/>
        <v>0</v>
      </c>
      <c r="BH37" s="1441">
        <f t="shared" si="41"/>
        <v>0</v>
      </c>
      <c r="BI37" s="1441">
        <f t="shared" si="41"/>
        <v>0</v>
      </c>
      <c r="BJ37" s="1441">
        <f t="shared" si="41"/>
        <v>0</v>
      </c>
      <c r="BK37" s="1441">
        <f t="shared" si="41"/>
        <v>0</v>
      </c>
      <c r="BL37" s="1441">
        <f t="shared" si="41"/>
        <v>0</v>
      </c>
    </row>
    <row r="38" spans="2:64">
      <c r="C38" s="1410"/>
      <c r="D38" s="1410"/>
      <c r="E38" s="1410"/>
      <c r="F38" s="1410"/>
      <c r="G38" s="1410"/>
      <c r="H38" s="1410"/>
      <c r="Q38" s="1410"/>
      <c r="R38" s="1410"/>
      <c r="S38" s="1410"/>
      <c r="T38" s="1410"/>
      <c r="AC38" s="1410"/>
      <c r="AD38" s="1410"/>
      <c r="AE38" s="1410"/>
      <c r="AF38" s="1410"/>
      <c r="AO38" s="1410"/>
      <c r="AP38" s="1410"/>
      <c r="AQ38" s="1410"/>
      <c r="AR38" s="1410"/>
      <c r="BA38" s="1410"/>
      <c r="BB38" s="1410"/>
      <c r="BC38" s="1410"/>
      <c r="BD38" s="1410"/>
    </row>
    <row r="39" spans="2:64">
      <c r="B39" s="1410"/>
      <c r="C39" s="1410"/>
      <c r="D39" s="1410"/>
      <c r="E39" s="1410"/>
      <c r="F39" s="1410"/>
      <c r="G39" s="1410"/>
      <c r="H39" s="1410"/>
      <c r="Q39" s="1410"/>
      <c r="R39" s="1410"/>
      <c r="S39" s="1410"/>
      <c r="T39" s="1410"/>
      <c r="AC39" s="1410"/>
      <c r="AD39" s="1410"/>
      <c r="AE39" s="1410"/>
      <c r="AF39" s="1410"/>
      <c r="AO39" s="1410"/>
      <c r="AP39" s="1410"/>
      <c r="AQ39" s="1410"/>
      <c r="AR39" s="1410"/>
      <c r="BA39" s="1410"/>
      <c r="BB39" s="1410"/>
      <c r="BC39" s="1410"/>
      <c r="BD39" s="1410"/>
    </row>
    <row r="40" spans="2:64">
      <c r="B40" s="1448" t="s">
        <v>651</v>
      </c>
      <c r="C40" s="1410"/>
      <c r="D40" s="1410"/>
      <c r="E40" s="1410"/>
      <c r="F40" s="1410"/>
      <c r="G40" s="1410"/>
      <c r="H40" s="1410"/>
      <c r="Q40" s="1410"/>
      <c r="R40" s="1410"/>
      <c r="S40" s="1410"/>
      <c r="T40" s="1410"/>
      <c r="AC40" s="1410"/>
      <c r="AD40" s="1410"/>
      <c r="AE40" s="1410"/>
      <c r="AF40" s="1410"/>
      <c r="AO40" s="1410"/>
      <c r="AP40" s="1410"/>
      <c r="AQ40" s="1410"/>
      <c r="AR40" s="1410"/>
      <c r="BA40" s="1410"/>
      <c r="BB40" s="1410"/>
      <c r="BC40" s="1410"/>
      <c r="BD40" s="1410"/>
    </row>
    <row r="41" spans="2:64">
      <c r="B41" s="1410" t="s">
        <v>1368</v>
      </c>
      <c r="C41" s="450">
        <f>80000/12</f>
        <v>6666.666666666667</v>
      </c>
      <c r="D41" s="1410"/>
      <c r="E41" s="1441">
        <f>-$C41</f>
        <v>-6666.666666666667</v>
      </c>
      <c r="F41" s="1441">
        <f t="shared" ref="F41:AD45" si="42">-$C41</f>
        <v>-6666.666666666667</v>
      </c>
      <c r="G41" s="1441">
        <f t="shared" si="42"/>
        <v>-6666.666666666667</v>
      </c>
      <c r="H41" s="1441">
        <f t="shared" si="42"/>
        <v>-6666.666666666667</v>
      </c>
      <c r="I41" s="1441">
        <f t="shared" si="42"/>
        <v>-6666.666666666667</v>
      </c>
      <c r="J41" s="1441">
        <f t="shared" si="42"/>
        <v>-6666.666666666667</v>
      </c>
      <c r="K41" s="1441">
        <f t="shared" si="42"/>
        <v>-6666.666666666667</v>
      </c>
      <c r="L41" s="1441">
        <f t="shared" si="42"/>
        <v>-6666.666666666667</v>
      </c>
      <c r="M41" s="1441">
        <f t="shared" si="42"/>
        <v>-6666.666666666667</v>
      </c>
      <c r="N41" s="1441">
        <f t="shared" si="42"/>
        <v>-6666.666666666667</v>
      </c>
      <c r="O41" s="1441">
        <f t="shared" si="42"/>
        <v>-6666.666666666667</v>
      </c>
      <c r="P41" s="1441">
        <f t="shared" si="42"/>
        <v>-6666.666666666667</v>
      </c>
      <c r="Q41" s="1441">
        <f>-$C41</f>
        <v>-6666.666666666667</v>
      </c>
      <c r="R41" s="1441">
        <f t="shared" si="42"/>
        <v>-6666.666666666667</v>
      </c>
      <c r="S41" s="1441">
        <f t="shared" si="42"/>
        <v>-6666.666666666667</v>
      </c>
      <c r="T41" s="1441">
        <f t="shared" si="42"/>
        <v>-6666.666666666667</v>
      </c>
      <c r="U41" s="1441">
        <f t="shared" si="42"/>
        <v>-6666.666666666667</v>
      </c>
      <c r="V41" s="1441">
        <f t="shared" si="42"/>
        <v>-6666.666666666667</v>
      </c>
      <c r="W41" s="1441">
        <f t="shared" si="42"/>
        <v>-6666.666666666667</v>
      </c>
      <c r="X41" s="1441">
        <f t="shared" si="42"/>
        <v>-6666.666666666667</v>
      </c>
      <c r="Y41" s="1441">
        <f t="shared" si="42"/>
        <v>-6666.666666666667</v>
      </c>
      <c r="Z41" s="1441">
        <f t="shared" si="42"/>
        <v>-6666.666666666667</v>
      </c>
      <c r="AA41" s="1441">
        <f t="shared" si="42"/>
        <v>-6666.666666666667</v>
      </c>
      <c r="AB41" s="1441">
        <f t="shared" si="42"/>
        <v>-6666.666666666667</v>
      </c>
      <c r="AC41" s="1441">
        <f t="shared" si="42"/>
        <v>-6666.666666666667</v>
      </c>
      <c r="AD41" s="1441">
        <f t="shared" si="42"/>
        <v>-6666.666666666667</v>
      </c>
      <c r="AE41" s="1441">
        <f t="shared" ref="AE41:BL45" si="43">-$C41</f>
        <v>-6666.666666666667</v>
      </c>
      <c r="AF41" s="1441">
        <f t="shared" si="43"/>
        <v>-6666.666666666667</v>
      </c>
      <c r="AG41" s="1441">
        <f t="shared" si="43"/>
        <v>-6666.666666666667</v>
      </c>
      <c r="AH41" s="1441">
        <f t="shared" si="43"/>
        <v>-6666.666666666667</v>
      </c>
      <c r="AI41" s="1441">
        <f t="shared" si="43"/>
        <v>-6666.666666666667</v>
      </c>
      <c r="AJ41" s="1441">
        <f t="shared" si="43"/>
        <v>-6666.666666666667</v>
      </c>
      <c r="AK41" s="1441">
        <f t="shared" si="43"/>
        <v>-6666.666666666667</v>
      </c>
      <c r="AL41" s="1441">
        <f t="shared" si="43"/>
        <v>-6666.666666666667</v>
      </c>
      <c r="AM41" s="1441">
        <f t="shared" si="43"/>
        <v>-6666.666666666667</v>
      </c>
      <c r="AN41" s="1441">
        <f t="shared" si="43"/>
        <v>-6666.666666666667</v>
      </c>
      <c r="AO41" s="1441">
        <f t="shared" si="43"/>
        <v>-6666.666666666667</v>
      </c>
      <c r="AP41" s="1441">
        <f t="shared" si="43"/>
        <v>-6666.666666666667</v>
      </c>
      <c r="AQ41" s="1441">
        <f t="shared" si="43"/>
        <v>-6666.666666666667</v>
      </c>
      <c r="AR41" s="1441">
        <f t="shared" si="43"/>
        <v>-6666.666666666667</v>
      </c>
      <c r="AS41" s="1441">
        <f t="shared" si="43"/>
        <v>-6666.666666666667</v>
      </c>
      <c r="AT41" s="1441">
        <f t="shared" si="43"/>
        <v>-6666.666666666667</v>
      </c>
      <c r="AU41" s="1441">
        <f t="shared" si="43"/>
        <v>-6666.666666666667</v>
      </c>
      <c r="AV41" s="1441">
        <f t="shared" si="43"/>
        <v>-6666.666666666667</v>
      </c>
      <c r="AW41" s="1441">
        <f t="shared" si="43"/>
        <v>-6666.666666666667</v>
      </c>
      <c r="AX41" s="1441">
        <f t="shared" si="43"/>
        <v>-6666.666666666667</v>
      </c>
      <c r="AY41" s="1441">
        <f t="shared" si="43"/>
        <v>-6666.666666666667</v>
      </c>
      <c r="AZ41" s="1441">
        <f t="shared" si="43"/>
        <v>-6666.666666666667</v>
      </c>
      <c r="BA41" s="1441">
        <f t="shared" si="43"/>
        <v>-6666.666666666667</v>
      </c>
      <c r="BB41" s="1441">
        <f t="shared" si="43"/>
        <v>-6666.666666666667</v>
      </c>
      <c r="BC41" s="1441">
        <f t="shared" si="43"/>
        <v>-6666.666666666667</v>
      </c>
      <c r="BD41" s="1441">
        <f t="shared" si="43"/>
        <v>-6666.666666666667</v>
      </c>
      <c r="BE41" s="1441">
        <f t="shared" si="43"/>
        <v>-6666.666666666667</v>
      </c>
      <c r="BF41" s="1441">
        <f t="shared" si="43"/>
        <v>-6666.666666666667</v>
      </c>
      <c r="BG41" s="1441">
        <f t="shared" si="43"/>
        <v>-6666.666666666667</v>
      </c>
      <c r="BH41" s="1441">
        <f t="shared" si="43"/>
        <v>-6666.666666666667</v>
      </c>
      <c r="BI41" s="1441">
        <f t="shared" si="43"/>
        <v>-6666.666666666667</v>
      </c>
      <c r="BJ41" s="1441">
        <f t="shared" si="43"/>
        <v>-6666.666666666667</v>
      </c>
      <c r="BK41" s="1441">
        <f t="shared" si="43"/>
        <v>-6666.666666666667</v>
      </c>
      <c r="BL41" s="1441">
        <f t="shared" si="43"/>
        <v>-6666.666666666667</v>
      </c>
    </row>
    <row r="42" spans="2:64">
      <c r="B42" s="1410" t="s">
        <v>1369</v>
      </c>
      <c r="C42" s="450">
        <f>75000/12</f>
        <v>6250</v>
      </c>
      <c r="D42" s="1410"/>
      <c r="E42" s="1441">
        <f t="shared" ref="E42:T45" si="44">-$C42</f>
        <v>-6250</v>
      </c>
      <c r="F42" s="1441">
        <f t="shared" si="44"/>
        <v>-6250</v>
      </c>
      <c r="G42" s="1441">
        <f t="shared" si="44"/>
        <v>-6250</v>
      </c>
      <c r="H42" s="1441">
        <f t="shared" si="44"/>
        <v>-6250</v>
      </c>
      <c r="I42" s="1441">
        <f t="shared" si="44"/>
        <v>-6250</v>
      </c>
      <c r="J42" s="1441">
        <f t="shared" si="44"/>
        <v>-6250</v>
      </c>
      <c r="K42" s="1441">
        <f t="shared" si="44"/>
        <v>-6250</v>
      </c>
      <c r="L42" s="1441">
        <f t="shared" si="44"/>
        <v>-6250</v>
      </c>
      <c r="M42" s="1441">
        <f t="shared" si="44"/>
        <v>-6250</v>
      </c>
      <c r="N42" s="1441">
        <f t="shared" si="44"/>
        <v>-6250</v>
      </c>
      <c r="O42" s="1441">
        <f t="shared" si="44"/>
        <v>-6250</v>
      </c>
      <c r="P42" s="1441">
        <f t="shared" si="44"/>
        <v>-6250</v>
      </c>
      <c r="Q42" s="1441">
        <f t="shared" si="44"/>
        <v>-6250</v>
      </c>
      <c r="R42" s="1441">
        <f t="shared" si="44"/>
        <v>-6250</v>
      </c>
      <c r="S42" s="1441">
        <f t="shared" si="44"/>
        <v>-6250</v>
      </c>
      <c r="T42" s="1441">
        <f t="shared" si="44"/>
        <v>-6250</v>
      </c>
      <c r="U42" s="1441">
        <f t="shared" si="42"/>
        <v>-6250</v>
      </c>
      <c r="V42" s="1441">
        <f t="shared" si="42"/>
        <v>-6250</v>
      </c>
      <c r="W42" s="1441">
        <f t="shared" si="42"/>
        <v>-6250</v>
      </c>
      <c r="X42" s="1441">
        <f t="shared" si="42"/>
        <v>-6250</v>
      </c>
      <c r="Y42" s="1441">
        <f t="shared" si="42"/>
        <v>-6250</v>
      </c>
      <c r="Z42" s="1441">
        <f t="shared" si="42"/>
        <v>-6250</v>
      </c>
      <c r="AA42" s="1441">
        <f t="shared" si="42"/>
        <v>-6250</v>
      </c>
      <c r="AB42" s="1441">
        <f t="shared" si="42"/>
        <v>-6250</v>
      </c>
      <c r="AC42" s="1441">
        <f t="shared" si="42"/>
        <v>-6250</v>
      </c>
      <c r="AD42" s="1441">
        <f t="shared" si="42"/>
        <v>-6250</v>
      </c>
      <c r="AE42" s="1441">
        <f t="shared" si="43"/>
        <v>-6250</v>
      </c>
      <c r="AF42" s="1441">
        <f t="shared" si="43"/>
        <v>-6250</v>
      </c>
      <c r="AG42" s="1441">
        <f t="shared" si="43"/>
        <v>-6250</v>
      </c>
      <c r="AH42" s="1441">
        <f t="shared" si="43"/>
        <v>-6250</v>
      </c>
      <c r="AI42" s="1441">
        <f t="shared" si="43"/>
        <v>-6250</v>
      </c>
      <c r="AJ42" s="1441">
        <f t="shared" si="43"/>
        <v>-6250</v>
      </c>
      <c r="AK42" s="1441">
        <f t="shared" si="43"/>
        <v>-6250</v>
      </c>
      <c r="AL42" s="1441">
        <f t="shared" si="43"/>
        <v>-6250</v>
      </c>
      <c r="AM42" s="1441">
        <f t="shared" si="43"/>
        <v>-6250</v>
      </c>
      <c r="AN42" s="1441">
        <f t="shared" si="43"/>
        <v>-6250</v>
      </c>
      <c r="AO42" s="1441">
        <f t="shared" si="43"/>
        <v>-6250</v>
      </c>
      <c r="AP42" s="1441">
        <f t="shared" si="43"/>
        <v>-6250</v>
      </c>
      <c r="AQ42" s="1441">
        <f t="shared" si="43"/>
        <v>-6250</v>
      </c>
      <c r="AR42" s="1441">
        <f t="shared" si="43"/>
        <v>-6250</v>
      </c>
      <c r="AS42" s="1441">
        <f t="shared" si="43"/>
        <v>-6250</v>
      </c>
      <c r="AT42" s="1441">
        <f t="shared" si="43"/>
        <v>-6250</v>
      </c>
      <c r="AU42" s="1441">
        <f t="shared" si="43"/>
        <v>-6250</v>
      </c>
      <c r="AV42" s="1441">
        <f t="shared" si="43"/>
        <v>-6250</v>
      </c>
      <c r="AW42" s="1441">
        <f t="shared" si="43"/>
        <v>-6250</v>
      </c>
      <c r="AX42" s="1441">
        <f t="shared" si="43"/>
        <v>-6250</v>
      </c>
      <c r="AY42" s="1441">
        <f t="shared" si="43"/>
        <v>-6250</v>
      </c>
      <c r="AZ42" s="1441">
        <f t="shared" si="43"/>
        <v>-6250</v>
      </c>
      <c r="BA42" s="1441">
        <f t="shared" si="43"/>
        <v>-6250</v>
      </c>
      <c r="BB42" s="1441">
        <f t="shared" si="43"/>
        <v>-6250</v>
      </c>
      <c r="BC42" s="1441">
        <f t="shared" si="43"/>
        <v>-6250</v>
      </c>
      <c r="BD42" s="1441">
        <f t="shared" si="43"/>
        <v>-6250</v>
      </c>
      <c r="BE42" s="1441">
        <f t="shared" si="43"/>
        <v>-6250</v>
      </c>
      <c r="BF42" s="1441">
        <f t="shared" si="43"/>
        <v>-6250</v>
      </c>
      <c r="BG42" s="1441">
        <f t="shared" si="43"/>
        <v>-6250</v>
      </c>
      <c r="BH42" s="1441">
        <f t="shared" si="43"/>
        <v>-6250</v>
      </c>
      <c r="BI42" s="1441">
        <f t="shared" si="43"/>
        <v>-6250</v>
      </c>
      <c r="BJ42" s="1441">
        <f t="shared" si="43"/>
        <v>-6250</v>
      </c>
      <c r="BK42" s="1441">
        <f t="shared" si="43"/>
        <v>-6250</v>
      </c>
      <c r="BL42" s="1441">
        <f t="shared" si="43"/>
        <v>-6250</v>
      </c>
    </row>
    <row r="43" spans="2:64">
      <c r="B43" s="1410" t="s">
        <v>1370</v>
      </c>
      <c r="C43" s="450">
        <v>3000</v>
      </c>
      <c r="D43" s="1410"/>
      <c r="E43" s="1441">
        <f t="shared" si="44"/>
        <v>-3000</v>
      </c>
      <c r="F43" s="1441">
        <f t="shared" si="44"/>
        <v>-3000</v>
      </c>
      <c r="G43" s="1441">
        <f t="shared" si="44"/>
        <v>-3000</v>
      </c>
      <c r="H43" s="1441">
        <f t="shared" si="44"/>
        <v>-3000</v>
      </c>
      <c r="I43" s="1441">
        <f t="shared" si="44"/>
        <v>-3000</v>
      </c>
      <c r="J43" s="1441">
        <f t="shared" si="44"/>
        <v>-3000</v>
      </c>
      <c r="K43" s="1441">
        <f t="shared" si="44"/>
        <v>-3000</v>
      </c>
      <c r="L43" s="1441">
        <f t="shared" si="44"/>
        <v>-3000</v>
      </c>
      <c r="M43" s="1441">
        <f t="shared" si="44"/>
        <v>-3000</v>
      </c>
      <c r="N43" s="1441">
        <f t="shared" si="44"/>
        <v>-3000</v>
      </c>
      <c r="O43" s="1441">
        <f t="shared" si="44"/>
        <v>-3000</v>
      </c>
      <c r="P43" s="1441">
        <f t="shared" si="44"/>
        <v>-3000</v>
      </c>
      <c r="Q43" s="1441">
        <f t="shared" si="42"/>
        <v>-3000</v>
      </c>
      <c r="R43" s="1441">
        <f t="shared" si="42"/>
        <v>-3000</v>
      </c>
      <c r="S43" s="1441">
        <f t="shared" si="42"/>
        <v>-3000</v>
      </c>
      <c r="T43" s="1441">
        <f t="shared" si="42"/>
        <v>-3000</v>
      </c>
      <c r="U43" s="1441">
        <f t="shared" si="42"/>
        <v>-3000</v>
      </c>
      <c r="V43" s="1441">
        <f t="shared" si="42"/>
        <v>-3000</v>
      </c>
      <c r="W43" s="1441">
        <f t="shared" si="42"/>
        <v>-3000</v>
      </c>
      <c r="X43" s="1441">
        <f t="shared" si="42"/>
        <v>-3000</v>
      </c>
      <c r="Y43" s="1441">
        <f t="shared" si="42"/>
        <v>-3000</v>
      </c>
      <c r="Z43" s="1441">
        <f t="shared" si="42"/>
        <v>-3000</v>
      </c>
      <c r="AA43" s="1441">
        <f t="shared" si="42"/>
        <v>-3000</v>
      </c>
      <c r="AB43" s="1441">
        <f t="shared" si="42"/>
        <v>-3000</v>
      </c>
      <c r="AC43" s="1441">
        <f t="shared" si="42"/>
        <v>-3000</v>
      </c>
      <c r="AD43" s="1441">
        <f t="shared" si="42"/>
        <v>-3000</v>
      </c>
      <c r="AE43" s="1441">
        <f t="shared" si="43"/>
        <v>-3000</v>
      </c>
      <c r="AF43" s="1441">
        <f t="shared" si="43"/>
        <v>-3000</v>
      </c>
      <c r="AG43" s="1441">
        <f t="shared" si="43"/>
        <v>-3000</v>
      </c>
      <c r="AH43" s="1441">
        <f t="shared" si="43"/>
        <v>-3000</v>
      </c>
      <c r="AI43" s="1441">
        <f t="shared" si="43"/>
        <v>-3000</v>
      </c>
      <c r="AJ43" s="1441">
        <f t="shared" si="43"/>
        <v>-3000</v>
      </c>
      <c r="AK43" s="1441">
        <f t="shared" si="43"/>
        <v>-3000</v>
      </c>
      <c r="AL43" s="1441">
        <f t="shared" si="43"/>
        <v>-3000</v>
      </c>
      <c r="AM43" s="1441">
        <f t="shared" si="43"/>
        <v>-3000</v>
      </c>
      <c r="AN43" s="1441">
        <f t="shared" si="43"/>
        <v>-3000</v>
      </c>
      <c r="AO43" s="1441">
        <f t="shared" si="43"/>
        <v>-3000</v>
      </c>
      <c r="AP43" s="1441">
        <f t="shared" si="43"/>
        <v>-3000</v>
      </c>
      <c r="AQ43" s="1441">
        <f t="shared" si="43"/>
        <v>-3000</v>
      </c>
      <c r="AR43" s="1441">
        <f t="shared" si="43"/>
        <v>-3000</v>
      </c>
      <c r="AS43" s="1441">
        <f t="shared" si="43"/>
        <v>-3000</v>
      </c>
      <c r="AT43" s="1441">
        <f t="shared" si="43"/>
        <v>-3000</v>
      </c>
      <c r="AU43" s="1441">
        <f t="shared" si="43"/>
        <v>-3000</v>
      </c>
      <c r="AV43" s="1441">
        <f t="shared" si="43"/>
        <v>-3000</v>
      </c>
      <c r="AW43" s="1441">
        <f t="shared" si="43"/>
        <v>-3000</v>
      </c>
      <c r="AX43" s="1441">
        <f t="shared" si="43"/>
        <v>-3000</v>
      </c>
      <c r="AY43" s="1441">
        <f t="shared" si="43"/>
        <v>-3000</v>
      </c>
      <c r="AZ43" s="1441">
        <f t="shared" si="43"/>
        <v>-3000</v>
      </c>
      <c r="BA43" s="1441">
        <f t="shared" si="43"/>
        <v>-3000</v>
      </c>
      <c r="BB43" s="1441">
        <f t="shared" si="43"/>
        <v>-3000</v>
      </c>
      <c r="BC43" s="1441">
        <f t="shared" si="43"/>
        <v>-3000</v>
      </c>
      <c r="BD43" s="1441">
        <f t="shared" si="43"/>
        <v>-3000</v>
      </c>
      <c r="BE43" s="1441">
        <f t="shared" si="43"/>
        <v>-3000</v>
      </c>
      <c r="BF43" s="1441">
        <f t="shared" si="43"/>
        <v>-3000</v>
      </c>
      <c r="BG43" s="1441">
        <f t="shared" si="43"/>
        <v>-3000</v>
      </c>
      <c r="BH43" s="1441">
        <f t="shared" si="43"/>
        <v>-3000</v>
      </c>
      <c r="BI43" s="1441">
        <f t="shared" si="43"/>
        <v>-3000</v>
      </c>
      <c r="BJ43" s="1441">
        <f t="shared" si="43"/>
        <v>-3000</v>
      </c>
      <c r="BK43" s="1441">
        <f t="shared" si="43"/>
        <v>-3000</v>
      </c>
      <c r="BL43" s="1441">
        <f t="shared" si="43"/>
        <v>-3000</v>
      </c>
    </row>
    <row r="44" spans="2:64">
      <c r="B44" s="1410" t="s">
        <v>1371</v>
      </c>
      <c r="C44" s="450">
        <v>0</v>
      </c>
      <c r="D44" s="1410"/>
      <c r="E44" s="1441">
        <f t="shared" si="44"/>
        <v>0</v>
      </c>
      <c r="F44" s="1441">
        <f t="shared" si="44"/>
        <v>0</v>
      </c>
      <c r="G44" s="1441">
        <f t="shared" si="44"/>
        <v>0</v>
      </c>
      <c r="H44" s="1441">
        <f t="shared" si="44"/>
        <v>0</v>
      </c>
      <c r="I44" s="1441">
        <f t="shared" si="44"/>
        <v>0</v>
      </c>
      <c r="J44" s="1441">
        <f t="shared" si="44"/>
        <v>0</v>
      </c>
      <c r="K44" s="1441">
        <f t="shared" si="44"/>
        <v>0</v>
      </c>
      <c r="L44" s="1441">
        <f t="shared" si="44"/>
        <v>0</v>
      </c>
      <c r="M44" s="1441">
        <f t="shared" si="44"/>
        <v>0</v>
      </c>
      <c r="N44" s="1441">
        <f t="shared" si="44"/>
        <v>0</v>
      </c>
      <c r="O44" s="1441">
        <f t="shared" si="44"/>
        <v>0</v>
      </c>
      <c r="P44" s="1441">
        <f t="shared" si="44"/>
        <v>0</v>
      </c>
      <c r="Q44" s="1441">
        <f t="shared" si="42"/>
        <v>0</v>
      </c>
      <c r="R44" s="1441">
        <f t="shared" si="42"/>
        <v>0</v>
      </c>
      <c r="S44" s="1441">
        <f t="shared" si="42"/>
        <v>0</v>
      </c>
      <c r="T44" s="1441">
        <f t="shared" si="42"/>
        <v>0</v>
      </c>
      <c r="U44" s="1441">
        <f t="shared" si="42"/>
        <v>0</v>
      </c>
      <c r="V44" s="1441">
        <f t="shared" si="42"/>
        <v>0</v>
      </c>
      <c r="W44" s="1441">
        <f t="shared" si="42"/>
        <v>0</v>
      </c>
      <c r="X44" s="1441">
        <f t="shared" si="42"/>
        <v>0</v>
      </c>
      <c r="Y44" s="1441">
        <f t="shared" si="42"/>
        <v>0</v>
      </c>
      <c r="Z44" s="1441">
        <f t="shared" si="42"/>
        <v>0</v>
      </c>
      <c r="AA44" s="1441">
        <f t="shared" si="42"/>
        <v>0</v>
      </c>
      <c r="AB44" s="1441">
        <f t="shared" si="42"/>
        <v>0</v>
      </c>
      <c r="AC44" s="1441">
        <f t="shared" si="42"/>
        <v>0</v>
      </c>
      <c r="AD44" s="1441">
        <f t="shared" si="42"/>
        <v>0</v>
      </c>
      <c r="AE44" s="1441">
        <f t="shared" si="43"/>
        <v>0</v>
      </c>
      <c r="AF44" s="1441">
        <f t="shared" si="43"/>
        <v>0</v>
      </c>
      <c r="AG44" s="1441">
        <f t="shared" si="43"/>
        <v>0</v>
      </c>
      <c r="AH44" s="1441">
        <f t="shared" si="43"/>
        <v>0</v>
      </c>
      <c r="AI44" s="1441">
        <f t="shared" si="43"/>
        <v>0</v>
      </c>
      <c r="AJ44" s="1441">
        <f t="shared" si="43"/>
        <v>0</v>
      </c>
      <c r="AK44" s="1441">
        <f t="shared" si="43"/>
        <v>0</v>
      </c>
      <c r="AL44" s="1441">
        <f t="shared" si="43"/>
        <v>0</v>
      </c>
      <c r="AM44" s="1441">
        <f t="shared" si="43"/>
        <v>0</v>
      </c>
      <c r="AN44" s="1441">
        <f t="shared" si="43"/>
        <v>0</v>
      </c>
      <c r="AO44" s="1441">
        <f t="shared" si="43"/>
        <v>0</v>
      </c>
      <c r="AP44" s="1441">
        <f t="shared" si="43"/>
        <v>0</v>
      </c>
      <c r="AQ44" s="1441">
        <f t="shared" si="43"/>
        <v>0</v>
      </c>
      <c r="AR44" s="1441">
        <f t="shared" si="43"/>
        <v>0</v>
      </c>
      <c r="AS44" s="1441">
        <f t="shared" si="43"/>
        <v>0</v>
      </c>
      <c r="AT44" s="1441">
        <f t="shared" si="43"/>
        <v>0</v>
      </c>
      <c r="AU44" s="1441">
        <f t="shared" si="43"/>
        <v>0</v>
      </c>
      <c r="AV44" s="1441">
        <f t="shared" si="43"/>
        <v>0</v>
      </c>
      <c r="AW44" s="1441">
        <f t="shared" si="43"/>
        <v>0</v>
      </c>
      <c r="AX44" s="1441">
        <f t="shared" si="43"/>
        <v>0</v>
      </c>
      <c r="AY44" s="1441">
        <f t="shared" si="43"/>
        <v>0</v>
      </c>
      <c r="AZ44" s="1441">
        <f t="shared" si="43"/>
        <v>0</v>
      </c>
      <c r="BA44" s="1441">
        <f t="shared" si="43"/>
        <v>0</v>
      </c>
      <c r="BB44" s="1441">
        <f t="shared" si="43"/>
        <v>0</v>
      </c>
      <c r="BC44" s="1441">
        <f t="shared" si="43"/>
        <v>0</v>
      </c>
      <c r="BD44" s="1441">
        <f t="shared" si="43"/>
        <v>0</v>
      </c>
      <c r="BE44" s="1441">
        <f t="shared" si="43"/>
        <v>0</v>
      </c>
      <c r="BF44" s="1441">
        <f t="shared" si="43"/>
        <v>0</v>
      </c>
      <c r="BG44" s="1441">
        <f t="shared" si="43"/>
        <v>0</v>
      </c>
      <c r="BH44" s="1441">
        <f t="shared" si="43"/>
        <v>0</v>
      </c>
      <c r="BI44" s="1441">
        <f t="shared" si="43"/>
        <v>0</v>
      </c>
      <c r="BJ44" s="1441">
        <f t="shared" si="43"/>
        <v>0</v>
      </c>
      <c r="BK44" s="1441">
        <f t="shared" si="43"/>
        <v>0</v>
      </c>
      <c r="BL44" s="1441">
        <f t="shared" si="43"/>
        <v>0</v>
      </c>
    </row>
    <row r="45" spans="2:64">
      <c r="B45" s="1410" t="s">
        <v>1372</v>
      </c>
      <c r="C45" s="450">
        <v>0</v>
      </c>
      <c r="D45" s="1410"/>
      <c r="E45" s="1441">
        <f t="shared" si="44"/>
        <v>0</v>
      </c>
      <c r="F45" s="1441">
        <f t="shared" si="44"/>
        <v>0</v>
      </c>
      <c r="G45" s="1441">
        <f t="shared" si="44"/>
        <v>0</v>
      </c>
      <c r="H45" s="1441">
        <f t="shared" si="44"/>
        <v>0</v>
      </c>
      <c r="I45" s="1441">
        <f t="shared" si="44"/>
        <v>0</v>
      </c>
      <c r="J45" s="1441">
        <f t="shared" si="44"/>
        <v>0</v>
      </c>
      <c r="K45" s="1441">
        <f t="shared" si="44"/>
        <v>0</v>
      </c>
      <c r="L45" s="1441">
        <f t="shared" si="44"/>
        <v>0</v>
      </c>
      <c r="M45" s="1441">
        <f t="shared" si="44"/>
        <v>0</v>
      </c>
      <c r="N45" s="1441">
        <f t="shared" si="44"/>
        <v>0</v>
      </c>
      <c r="O45" s="1441">
        <f t="shared" si="44"/>
        <v>0</v>
      </c>
      <c r="P45" s="1441">
        <f t="shared" si="44"/>
        <v>0</v>
      </c>
      <c r="Q45" s="1441">
        <f t="shared" si="42"/>
        <v>0</v>
      </c>
      <c r="R45" s="1441">
        <f t="shared" si="42"/>
        <v>0</v>
      </c>
      <c r="S45" s="1441">
        <f t="shared" si="42"/>
        <v>0</v>
      </c>
      <c r="T45" s="1441">
        <f t="shared" si="42"/>
        <v>0</v>
      </c>
      <c r="U45" s="1441">
        <f t="shared" si="42"/>
        <v>0</v>
      </c>
      <c r="V45" s="1441">
        <f t="shared" si="42"/>
        <v>0</v>
      </c>
      <c r="W45" s="1441">
        <f t="shared" si="42"/>
        <v>0</v>
      </c>
      <c r="X45" s="1441">
        <f t="shared" si="42"/>
        <v>0</v>
      </c>
      <c r="Y45" s="1441">
        <f t="shared" si="42"/>
        <v>0</v>
      </c>
      <c r="Z45" s="1441">
        <f t="shared" si="42"/>
        <v>0</v>
      </c>
      <c r="AA45" s="1441">
        <f t="shared" si="42"/>
        <v>0</v>
      </c>
      <c r="AB45" s="1441">
        <f t="shared" si="42"/>
        <v>0</v>
      </c>
      <c r="AC45" s="1441">
        <f t="shared" si="42"/>
        <v>0</v>
      </c>
      <c r="AD45" s="1441">
        <f t="shared" si="42"/>
        <v>0</v>
      </c>
      <c r="AE45" s="1441">
        <f t="shared" si="43"/>
        <v>0</v>
      </c>
      <c r="AF45" s="1441">
        <f t="shared" si="43"/>
        <v>0</v>
      </c>
      <c r="AG45" s="1441">
        <f t="shared" si="43"/>
        <v>0</v>
      </c>
      <c r="AH45" s="1441">
        <f t="shared" si="43"/>
        <v>0</v>
      </c>
      <c r="AI45" s="1441">
        <f t="shared" si="43"/>
        <v>0</v>
      </c>
      <c r="AJ45" s="1441">
        <f t="shared" si="43"/>
        <v>0</v>
      </c>
      <c r="AK45" s="1441">
        <f t="shared" si="43"/>
        <v>0</v>
      </c>
      <c r="AL45" s="1441">
        <f t="shared" si="43"/>
        <v>0</v>
      </c>
      <c r="AM45" s="1441">
        <f t="shared" si="43"/>
        <v>0</v>
      </c>
      <c r="AN45" s="1441">
        <f t="shared" si="43"/>
        <v>0</v>
      </c>
      <c r="AO45" s="1441">
        <f t="shared" si="43"/>
        <v>0</v>
      </c>
      <c r="AP45" s="1441">
        <f t="shared" si="43"/>
        <v>0</v>
      </c>
      <c r="AQ45" s="1441">
        <f t="shared" si="43"/>
        <v>0</v>
      </c>
      <c r="AR45" s="1441">
        <f t="shared" si="43"/>
        <v>0</v>
      </c>
      <c r="AS45" s="1441">
        <f t="shared" si="43"/>
        <v>0</v>
      </c>
      <c r="AT45" s="1441">
        <f t="shared" si="43"/>
        <v>0</v>
      </c>
      <c r="AU45" s="1441">
        <f t="shared" si="43"/>
        <v>0</v>
      </c>
      <c r="AV45" s="1441">
        <f t="shared" si="43"/>
        <v>0</v>
      </c>
      <c r="AW45" s="1441">
        <f t="shared" si="43"/>
        <v>0</v>
      </c>
      <c r="AX45" s="1441">
        <f t="shared" si="43"/>
        <v>0</v>
      </c>
      <c r="AY45" s="1441">
        <f t="shared" si="43"/>
        <v>0</v>
      </c>
      <c r="AZ45" s="1441">
        <f t="shared" si="43"/>
        <v>0</v>
      </c>
      <c r="BA45" s="1441">
        <f t="shared" si="43"/>
        <v>0</v>
      </c>
      <c r="BB45" s="1441">
        <f t="shared" si="43"/>
        <v>0</v>
      </c>
      <c r="BC45" s="1441">
        <f t="shared" si="43"/>
        <v>0</v>
      </c>
      <c r="BD45" s="1441">
        <f t="shared" si="43"/>
        <v>0</v>
      </c>
      <c r="BE45" s="1441">
        <f t="shared" si="43"/>
        <v>0</v>
      </c>
      <c r="BF45" s="1441">
        <f t="shared" si="43"/>
        <v>0</v>
      </c>
      <c r="BG45" s="1441">
        <f t="shared" si="43"/>
        <v>0</v>
      </c>
      <c r="BH45" s="1441">
        <f t="shared" si="43"/>
        <v>0</v>
      </c>
      <c r="BI45" s="1441">
        <f t="shared" si="43"/>
        <v>0</v>
      </c>
      <c r="BJ45" s="1441">
        <f t="shared" si="43"/>
        <v>0</v>
      </c>
      <c r="BK45" s="1441">
        <f t="shared" si="43"/>
        <v>0</v>
      </c>
      <c r="BL45" s="1441">
        <f t="shared" si="43"/>
        <v>0</v>
      </c>
    </row>
    <row r="46" spans="2:64">
      <c r="B46" s="1410"/>
      <c r="C46" s="1410"/>
      <c r="D46" s="1410"/>
      <c r="E46" s="1410"/>
      <c r="F46" s="1410"/>
      <c r="G46" s="1410"/>
      <c r="H46" s="1410"/>
      <c r="Q46" s="1410"/>
      <c r="R46" s="1410"/>
      <c r="S46" s="1410"/>
      <c r="T46" s="1410"/>
      <c r="AC46" s="1410"/>
      <c r="AD46" s="1410"/>
      <c r="AE46" s="1410"/>
      <c r="AF46" s="1410"/>
      <c r="AO46" s="1410"/>
      <c r="AP46" s="1410"/>
      <c r="AQ46" s="1410"/>
      <c r="AR46" s="1410"/>
      <c r="BA46" s="1410"/>
      <c r="BB46" s="1410"/>
      <c r="BC46" s="1410"/>
      <c r="BD46" s="1410"/>
    </row>
    <row r="47" spans="2:64">
      <c r="B47" s="1448" t="s">
        <v>654</v>
      </c>
      <c r="C47" s="1450">
        <f>C48+C49</f>
        <v>0</v>
      </c>
      <c r="D47" s="1410"/>
      <c r="E47" s="1441">
        <f>-$C$47</f>
        <v>0</v>
      </c>
      <c r="F47" s="1441">
        <f t="shared" ref="F47:BL47" si="45">-$C$47</f>
        <v>0</v>
      </c>
      <c r="G47" s="1441">
        <f t="shared" si="45"/>
        <v>0</v>
      </c>
      <c r="H47" s="1441">
        <f t="shared" si="45"/>
        <v>0</v>
      </c>
      <c r="I47" s="1441">
        <f t="shared" si="45"/>
        <v>0</v>
      </c>
      <c r="J47" s="1441">
        <f t="shared" si="45"/>
        <v>0</v>
      </c>
      <c r="K47" s="1441">
        <f t="shared" si="45"/>
        <v>0</v>
      </c>
      <c r="L47" s="1441">
        <f t="shared" si="45"/>
        <v>0</v>
      </c>
      <c r="M47" s="1441">
        <f t="shared" si="45"/>
        <v>0</v>
      </c>
      <c r="N47" s="1441">
        <f t="shared" si="45"/>
        <v>0</v>
      </c>
      <c r="O47" s="1441">
        <f t="shared" si="45"/>
        <v>0</v>
      </c>
      <c r="P47" s="1441">
        <f t="shared" si="45"/>
        <v>0</v>
      </c>
      <c r="Q47" s="1441">
        <f>-$C$47</f>
        <v>0</v>
      </c>
      <c r="R47" s="1441">
        <f t="shared" si="45"/>
        <v>0</v>
      </c>
      <c r="S47" s="1441">
        <f t="shared" si="45"/>
        <v>0</v>
      </c>
      <c r="T47" s="1441">
        <f t="shared" si="45"/>
        <v>0</v>
      </c>
      <c r="U47" s="1441">
        <f t="shared" si="45"/>
        <v>0</v>
      </c>
      <c r="V47" s="1441">
        <f t="shared" si="45"/>
        <v>0</v>
      </c>
      <c r="W47" s="1441">
        <f t="shared" si="45"/>
        <v>0</v>
      </c>
      <c r="X47" s="1441">
        <f t="shared" si="45"/>
        <v>0</v>
      </c>
      <c r="Y47" s="1441">
        <f t="shared" si="45"/>
        <v>0</v>
      </c>
      <c r="Z47" s="1441">
        <f t="shared" si="45"/>
        <v>0</v>
      </c>
      <c r="AA47" s="1441">
        <f t="shared" si="45"/>
        <v>0</v>
      </c>
      <c r="AB47" s="1441">
        <f t="shared" si="45"/>
        <v>0</v>
      </c>
      <c r="AC47" s="1441">
        <f t="shared" si="45"/>
        <v>0</v>
      </c>
      <c r="AD47" s="1441">
        <f t="shared" si="45"/>
        <v>0</v>
      </c>
      <c r="AE47" s="1441">
        <f t="shared" si="45"/>
        <v>0</v>
      </c>
      <c r="AF47" s="1441">
        <f t="shared" si="45"/>
        <v>0</v>
      </c>
      <c r="AG47" s="1441">
        <f t="shared" si="45"/>
        <v>0</v>
      </c>
      <c r="AH47" s="1441">
        <f t="shared" si="45"/>
        <v>0</v>
      </c>
      <c r="AI47" s="1441">
        <f t="shared" si="45"/>
        <v>0</v>
      </c>
      <c r="AJ47" s="1441">
        <f t="shared" si="45"/>
        <v>0</v>
      </c>
      <c r="AK47" s="1441">
        <f t="shared" si="45"/>
        <v>0</v>
      </c>
      <c r="AL47" s="1441">
        <f t="shared" si="45"/>
        <v>0</v>
      </c>
      <c r="AM47" s="1441">
        <f t="shared" si="45"/>
        <v>0</v>
      </c>
      <c r="AN47" s="1441">
        <f t="shared" si="45"/>
        <v>0</v>
      </c>
      <c r="AO47" s="1441">
        <f t="shared" si="45"/>
        <v>0</v>
      </c>
      <c r="AP47" s="1441">
        <f t="shared" si="45"/>
        <v>0</v>
      </c>
      <c r="AQ47" s="1441">
        <f t="shared" si="45"/>
        <v>0</v>
      </c>
      <c r="AR47" s="1441">
        <f t="shared" si="45"/>
        <v>0</v>
      </c>
      <c r="AS47" s="1441">
        <f t="shared" si="45"/>
        <v>0</v>
      </c>
      <c r="AT47" s="1441">
        <f t="shared" si="45"/>
        <v>0</v>
      </c>
      <c r="AU47" s="1441">
        <f t="shared" si="45"/>
        <v>0</v>
      </c>
      <c r="AV47" s="1441">
        <f t="shared" si="45"/>
        <v>0</v>
      </c>
      <c r="AW47" s="1441">
        <f t="shared" si="45"/>
        <v>0</v>
      </c>
      <c r="AX47" s="1441">
        <f t="shared" si="45"/>
        <v>0</v>
      </c>
      <c r="AY47" s="1441">
        <f t="shared" si="45"/>
        <v>0</v>
      </c>
      <c r="AZ47" s="1441">
        <f t="shared" si="45"/>
        <v>0</v>
      </c>
      <c r="BA47" s="1441">
        <f t="shared" si="45"/>
        <v>0</v>
      </c>
      <c r="BB47" s="1441">
        <f t="shared" si="45"/>
        <v>0</v>
      </c>
      <c r="BC47" s="1441">
        <f t="shared" si="45"/>
        <v>0</v>
      </c>
      <c r="BD47" s="1441">
        <f t="shared" si="45"/>
        <v>0</v>
      </c>
      <c r="BE47" s="1441">
        <f t="shared" si="45"/>
        <v>0</v>
      </c>
      <c r="BF47" s="1441">
        <f t="shared" si="45"/>
        <v>0</v>
      </c>
      <c r="BG47" s="1441">
        <f t="shared" si="45"/>
        <v>0</v>
      </c>
      <c r="BH47" s="1441">
        <f t="shared" si="45"/>
        <v>0</v>
      </c>
      <c r="BI47" s="1441">
        <f t="shared" si="45"/>
        <v>0</v>
      </c>
      <c r="BJ47" s="1441">
        <f t="shared" si="45"/>
        <v>0</v>
      </c>
      <c r="BK47" s="1441">
        <f t="shared" si="45"/>
        <v>0</v>
      </c>
      <c r="BL47" s="1441">
        <f t="shared" si="45"/>
        <v>0</v>
      </c>
    </row>
    <row r="48" spans="2:64">
      <c r="B48" s="1410" t="s">
        <v>655</v>
      </c>
      <c r="C48" s="450">
        <v>0</v>
      </c>
      <c r="D48" s="1410"/>
      <c r="E48" s="1410"/>
      <c r="F48" s="1410"/>
      <c r="G48" s="1410"/>
      <c r="H48" s="1410"/>
      <c r="Q48" s="1410"/>
      <c r="R48" s="1410"/>
      <c r="S48" s="1410"/>
      <c r="T48" s="1410"/>
      <c r="AC48" s="1410"/>
      <c r="AD48" s="1410"/>
      <c r="AE48" s="1410"/>
      <c r="AF48" s="1410"/>
      <c r="AO48" s="1410"/>
      <c r="AP48" s="1410"/>
      <c r="AQ48" s="1410"/>
      <c r="AR48" s="1410"/>
      <c r="BA48" s="1410"/>
      <c r="BB48" s="1410"/>
      <c r="BC48" s="1410"/>
      <c r="BD48" s="1410"/>
    </row>
    <row r="49" spans="1:64">
      <c r="B49" s="1410" t="s">
        <v>656</v>
      </c>
      <c r="C49" s="450">
        <v>0</v>
      </c>
      <c r="D49" s="1410"/>
      <c r="E49" s="1410"/>
      <c r="F49" s="1410"/>
      <c r="G49" s="1410"/>
      <c r="H49" s="1410"/>
      <c r="Q49" s="1410"/>
      <c r="R49" s="1410"/>
      <c r="S49" s="1410"/>
      <c r="T49" s="1410"/>
      <c r="AC49" s="1410"/>
      <c r="AD49" s="1410"/>
      <c r="AE49" s="1410"/>
      <c r="AF49" s="1410"/>
      <c r="AO49" s="1410"/>
      <c r="AP49" s="1410"/>
      <c r="AQ49" s="1410"/>
      <c r="AR49" s="1410"/>
      <c r="BA49" s="1410"/>
      <c r="BB49" s="1410"/>
      <c r="BC49" s="1410"/>
      <c r="BD49" s="1410"/>
    </row>
    <row r="50" spans="1:64">
      <c r="B50" s="1410"/>
      <c r="C50" s="1410"/>
      <c r="D50" s="1410"/>
      <c r="E50" s="1410"/>
      <c r="F50" s="1410"/>
      <c r="G50" s="1410"/>
      <c r="H50" s="1410"/>
      <c r="Q50" s="1410"/>
      <c r="R50" s="1410"/>
      <c r="S50" s="1410"/>
      <c r="T50" s="1410"/>
      <c r="AC50" s="1410"/>
      <c r="AD50" s="1410"/>
      <c r="AE50" s="1410"/>
      <c r="AF50" s="1410"/>
      <c r="AO50" s="1410"/>
      <c r="AP50" s="1410"/>
      <c r="AQ50" s="1410"/>
      <c r="AR50" s="1410"/>
      <c r="BA50" s="1410"/>
      <c r="BB50" s="1410"/>
      <c r="BC50" s="1410"/>
      <c r="BD50" s="1410"/>
    </row>
    <row r="51" spans="1:64">
      <c r="B51" s="1410" t="s">
        <v>176</v>
      </c>
      <c r="C51" s="1410"/>
      <c r="D51" s="1410"/>
      <c r="E51" s="1451">
        <f>SUM(E23:E24,E28:E31,E34:E38,E41:E45,E47:E49)</f>
        <v>-50916.666666666664</v>
      </c>
      <c r="F51" s="1451">
        <f t="shared" ref="F51:BL51" si="46">SUM(F23:F24,F28:F31,F34:F38,F41:F45,F47:F49)</f>
        <v>-109250.00000000001</v>
      </c>
      <c r="G51" s="1451">
        <f t="shared" si="46"/>
        <v>65749.999999999985</v>
      </c>
      <c r="H51" s="1451">
        <f t="shared" si="46"/>
        <v>474083.33333333337</v>
      </c>
      <c r="I51" s="1451">
        <f t="shared" si="46"/>
        <v>474083.33333333337</v>
      </c>
      <c r="J51" s="1451">
        <f t="shared" si="46"/>
        <v>474083.33333333337</v>
      </c>
      <c r="K51" s="1451">
        <f t="shared" si="46"/>
        <v>474083.33333333337</v>
      </c>
      <c r="L51" s="1451">
        <f t="shared" si="46"/>
        <v>474083.33333333337</v>
      </c>
      <c r="M51" s="1451">
        <f t="shared" si="46"/>
        <v>474083.33333333337</v>
      </c>
      <c r="N51" s="1451">
        <f t="shared" si="46"/>
        <v>474083.33333333337</v>
      </c>
      <c r="O51" s="1451">
        <f t="shared" si="46"/>
        <v>474083.33333333337</v>
      </c>
      <c r="P51" s="1451">
        <f t="shared" si="46"/>
        <v>474083.33333333337</v>
      </c>
      <c r="Q51" s="1451">
        <f t="shared" si="46"/>
        <v>93350750</v>
      </c>
      <c r="R51" s="1451">
        <f t="shared" si="46"/>
        <v>93350750</v>
      </c>
      <c r="S51" s="1451">
        <f t="shared" si="46"/>
        <v>93350750</v>
      </c>
      <c r="T51" s="1451">
        <f t="shared" si="46"/>
        <v>93350750</v>
      </c>
      <c r="U51" s="1451">
        <f t="shared" si="46"/>
        <v>93350750</v>
      </c>
      <c r="V51" s="1451">
        <f t="shared" si="46"/>
        <v>93350750</v>
      </c>
      <c r="W51" s="1451">
        <f t="shared" si="46"/>
        <v>93350750</v>
      </c>
      <c r="X51" s="1451">
        <f t="shared" si="46"/>
        <v>93350750</v>
      </c>
      <c r="Y51" s="1451">
        <f t="shared" si="46"/>
        <v>93350750</v>
      </c>
      <c r="Z51" s="1451">
        <f t="shared" si="46"/>
        <v>93350750</v>
      </c>
      <c r="AA51" s="1451">
        <f t="shared" si="46"/>
        <v>93350750</v>
      </c>
      <c r="AB51" s="1451">
        <f t="shared" si="46"/>
        <v>93350750</v>
      </c>
      <c r="AC51" s="1451">
        <f t="shared" si="46"/>
        <v>102592416.66666666</v>
      </c>
      <c r="AD51" s="1451">
        <f t="shared" si="46"/>
        <v>102592416.66666666</v>
      </c>
      <c r="AE51" s="1451">
        <f t="shared" si="46"/>
        <v>102592416.66666666</v>
      </c>
      <c r="AF51" s="1451">
        <f t="shared" si="46"/>
        <v>102592416.66666666</v>
      </c>
      <c r="AG51" s="1451">
        <f t="shared" si="46"/>
        <v>102592416.66666666</v>
      </c>
      <c r="AH51" s="1451">
        <f t="shared" si="46"/>
        <v>102592416.66666666</v>
      </c>
      <c r="AI51" s="1451">
        <f t="shared" si="46"/>
        <v>102592416.66666666</v>
      </c>
      <c r="AJ51" s="1451">
        <f t="shared" si="46"/>
        <v>102592416.66666666</v>
      </c>
      <c r="AK51" s="1451">
        <f t="shared" si="46"/>
        <v>102592416.66666666</v>
      </c>
      <c r="AL51" s="1451">
        <f t="shared" si="46"/>
        <v>102592416.66666666</v>
      </c>
      <c r="AM51" s="1451">
        <f t="shared" si="46"/>
        <v>102592416.66666666</v>
      </c>
      <c r="AN51" s="1451">
        <f t="shared" si="46"/>
        <v>102592416.66666666</v>
      </c>
      <c r="AO51" s="1451">
        <f t="shared" si="46"/>
        <v>112250749.99999999</v>
      </c>
      <c r="AP51" s="1451">
        <f t="shared" si="46"/>
        <v>112250749.99999999</v>
      </c>
      <c r="AQ51" s="1451">
        <f t="shared" si="46"/>
        <v>112250749.99999999</v>
      </c>
      <c r="AR51" s="1451">
        <f t="shared" si="46"/>
        <v>112250749.99999999</v>
      </c>
      <c r="AS51" s="1451">
        <f t="shared" si="46"/>
        <v>112250749.99999999</v>
      </c>
      <c r="AT51" s="1451">
        <f t="shared" si="46"/>
        <v>112250749.99999999</v>
      </c>
      <c r="AU51" s="1451">
        <f t="shared" si="46"/>
        <v>112250749.99999999</v>
      </c>
      <c r="AV51" s="1451">
        <f t="shared" si="46"/>
        <v>112250749.99999999</v>
      </c>
      <c r="AW51" s="1451">
        <f t="shared" si="46"/>
        <v>112250749.99999999</v>
      </c>
      <c r="AX51" s="1451">
        <f t="shared" si="46"/>
        <v>112250749.99999999</v>
      </c>
      <c r="AY51" s="1451">
        <f t="shared" si="46"/>
        <v>112250749.99999999</v>
      </c>
      <c r="AZ51" s="1451">
        <f t="shared" si="46"/>
        <v>112250749.99999999</v>
      </c>
      <c r="BA51" s="1451">
        <f t="shared" si="46"/>
        <v>122325750</v>
      </c>
      <c r="BB51" s="1451">
        <f t="shared" si="46"/>
        <v>122325750</v>
      </c>
      <c r="BC51" s="1451">
        <f t="shared" si="46"/>
        <v>122325750</v>
      </c>
      <c r="BD51" s="1451">
        <f t="shared" si="46"/>
        <v>122325750</v>
      </c>
      <c r="BE51" s="1451">
        <f t="shared" si="46"/>
        <v>122325750</v>
      </c>
      <c r="BF51" s="1451">
        <f t="shared" si="46"/>
        <v>122325750</v>
      </c>
      <c r="BG51" s="1451">
        <f t="shared" si="46"/>
        <v>122325750</v>
      </c>
      <c r="BH51" s="1451">
        <f t="shared" si="46"/>
        <v>122325750</v>
      </c>
      <c r="BI51" s="1451">
        <f t="shared" si="46"/>
        <v>122325750</v>
      </c>
      <c r="BJ51" s="1451">
        <f t="shared" si="46"/>
        <v>122325750</v>
      </c>
      <c r="BK51" s="1451">
        <f t="shared" si="46"/>
        <v>122325750</v>
      </c>
      <c r="BL51" s="1451">
        <f t="shared" si="46"/>
        <v>122325750</v>
      </c>
    </row>
    <row r="52" spans="1:64">
      <c r="B52" s="1452" t="s">
        <v>657</v>
      </c>
      <c r="C52" s="1453"/>
      <c r="D52" s="1454"/>
      <c r="E52" s="1455">
        <f>E51</f>
        <v>-50916.666666666664</v>
      </c>
      <c r="F52" s="1456">
        <f>E52+F51</f>
        <v>-160166.66666666669</v>
      </c>
      <c r="G52" s="1456">
        <f t="shared" ref="G52:O52" si="47">F52+G51</f>
        <v>-94416.666666666701</v>
      </c>
      <c r="H52" s="1456">
        <f t="shared" si="47"/>
        <v>379666.66666666669</v>
      </c>
      <c r="I52" s="1456">
        <f t="shared" si="47"/>
        <v>853750</v>
      </c>
      <c r="J52" s="1456">
        <f t="shared" si="47"/>
        <v>1327833.3333333335</v>
      </c>
      <c r="K52" s="1456">
        <f t="shared" si="47"/>
        <v>1801916.666666667</v>
      </c>
      <c r="L52" s="1456">
        <f t="shared" si="47"/>
        <v>2276000.0000000005</v>
      </c>
      <c r="M52" s="1456">
        <f t="shared" si="47"/>
        <v>2750083.333333334</v>
      </c>
      <c r="N52" s="1456">
        <f t="shared" si="47"/>
        <v>3224166.6666666674</v>
      </c>
      <c r="O52" s="1456">
        <f t="shared" si="47"/>
        <v>3698250.0000000009</v>
      </c>
      <c r="P52" s="1456">
        <f>O52+P51</f>
        <v>4172333.3333333344</v>
      </c>
      <c r="Q52" s="1457">
        <f>P52+Q51</f>
        <v>97523083.333333328</v>
      </c>
      <c r="R52" s="1456">
        <f>Q52+R51</f>
        <v>190873833.33333331</v>
      </c>
      <c r="S52" s="1456">
        <f t="shared" ref="S52:BL52" si="48">R52+S51</f>
        <v>284224583.33333331</v>
      </c>
      <c r="T52" s="1456">
        <f t="shared" si="48"/>
        <v>377575333.33333331</v>
      </c>
      <c r="U52" s="1456">
        <f t="shared" si="48"/>
        <v>470926083.33333331</v>
      </c>
      <c r="V52" s="1456">
        <f t="shared" si="48"/>
        <v>564276833.33333325</v>
      </c>
      <c r="W52" s="1456">
        <f t="shared" si="48"/>
        <v>657627583.33333325</v>
      </c>
      <c r="X52" s="1456">
        <f t="shared" si="48"/>
        <v>750978333.33333325</v>
      </c>
      <c r="Y52" s="1456">
        <f t="shared" si="48"/>
        <v>844329083.33333325</v>
      </c>
      <c r="Z52" s="1456">
        <f t="shared" si="48"/>
        <v>937679833.33333325</v>
      </c>
      <c r="AA52" s="1456">
        <f t="shared" si="48"/>
        <v>1031030583.3333333</v>
      </c>
      <c r="AB52" s="1456">
        <f t="shared" si="48"/>
        <v>1124381333.3333333</v>
      </c>
      <c r="AC52" s="1457">
        <f t="shared" si="48"/>
        <v>1226973750</v>
      </c>
      <c r="AD52" s="1456">
        <f t="shared" si="48"/>
        <v>1329566166.6666667</v>
      </c>
      <c r="AE52" s="1456">
        <f t="shared" si="48"/>
        <v>1432158583.3333335</v>
      </c>
      <c r="AF52" s="1456">
        <f t="shared" si="48"/>
        <v>1534751000.0000002</v>
      </c>
      <c r="AG52" s="1456">
        <f t="shared" si="48"/>
        <v>1637343416.666667</v>
      </c>
      <c r="AH52" s="1456">
        <f t="shared" si="48"/>
        <v>1739935833.3333337</v>
      </c>
      <c r="AI52" s="1456">
        <f t="shared" si="48"/>
        <v>1842528250.0000005</v>
      </c>
      <c r="AJ52" s="1456">
        <f t="shared" si="48"/>
        <v>1945120666.6666672</v>
      </c>
      <c r="AK52" s="1456">
        <f t="shared" si="48"/>
        <v>2047713083.333334</v>
      </c>
      <c r="AL52" s="1456">
        <f t="shared" si="48"/>
        <v>2150305500.0000005</v>
      </c>
      <c r="AM52" s="1456">
        <f t="shared" si="48"/>
        <v>2252897916.666667</v>
      </c>
      <c r="AN52" s="1456">
        <f t="shared" si="48"/>
        <v>2355490333.3333335</v>
      </c>
      <c r="AO52" s="1457">
        <f t="shared" si="48"/>
        <v>2467741083.3333335</v>
      </c>
      <c r="AP52" s="1456">
        <f t="shared" si="48"/>
        <v>2579991833.3333335</v>
      </c>
      <c r="AQ52" s="1456">
        <f t="shared" si="48"/>
        <v>2692242583.3333335</v>
      </c>
      <c r="AR52" s="1456">
        <f t="shared" si="48"/>
        <v>2804493333.3333335</v>
      </c>
      <c r="AS52" s="1456">
        <f t="shared" si="48"/>
        <v>2916744083.3333335</v>
      </c>
      <c r="AT52" s="1456">
        <f t="shared" si="48"/>
        <v>3028994833.3333335</v>
      </c>
      <c r="AU52" s="1456">
        <f t="shared" si="48"/>
        <v>3141245583.3333335</v>
      </c>
      <c r="AV52" s="1456">
        <f t="shared" si="48"/>
        <v>3253496333.3333335</v>
      </c>
      <c r="AW52" s="1456">
        <f t="shared" si="48"/>
        <v>3365747083.3333335</v>
      </c>
      <c r="AX52" s="1456">
        <f t="shared" si="48"/>
        <v>3477997833.3333335</v>
      </c>
      <c r="AY52" s="1456">
        <f t="shared" si="48"/>
        <v>3590248583.3333335</v>
      </c>
      <c r="AZ52" s="1456">
        <f t="shared" si="48"/>
        <v>3702499333.3333335</v>
      </c>
      <c r="BA52" s="1457">
        <f t="shared" si="48"/>
        <v>3824825083.3333335</v>
      </c>
      <c r="BB52" s="1456">
        <f t="shared" si="48"/>
        <v>3947150833.3333335</v>
      </c>
      <c r="BC52" s="1456">
        <f t="shared" si="48"/>
        <v>4069476583.3333335</v>
      </c>
      <c r="BD52" s="1456">
        <f t="shared" si="48"/>
        <v>4191802333.3333335</v>
      </c>
      <c r="BE52" s="1456">
        <f t="shared" si="48"/>
        <v>4314128083.333334</v>
      </c>
      <c r="BF52" s="1456">
        <f t="shared" si="48"/>
        <v>4436453833.333334</v>
      </c>
      <c r="BG52" s="1456">
        <f t="shared" si="48"/>
        <v>4558779583.333334</v>
      </c>
      <c r="BH52" s="1456">
        <f t="shared" si="48"/>
        <v>4681105333.333334</v>
      </c>
      <c r="BI52" s="1456">
        <f t="shared" si="48"/>
        <v>4803431083.333334</v>
      </c>
      <c r="BJ52" s="1456">
        <f t="shared" si="48"/>
        <v>4925756833.333334</v>
      </c>
      <c r="BK52" s="1456">
        <f t="shared" si="48"/>
        <v>5048082583.333334</v>
      </c>
      <c r="BL52" s="1456">
        <f t="shared" si="48"/>
        <v>5170408333.333334</v>
      </c>
    </row>
    <row r="56" spans="1:64">
      <c r="A56" s="1323" t="s">
        <v>658</v>
      </c>
      <c r="E56" s="1334"/>
      <c r="F56" s="1334"/>
    </row>
    <row r="57" spans="1:64">
      <c r="E57" s="1334"/>
      <c r="F57" s="1334"/>
    </row>
    <row r="58" spans="1:64" ht="14.25">
      <c r="E58" s="491" t="s">
        <v>659</v>
      </c>
      <c r="F58" s="1557">
        <f>MIN(E52:BL52)</f>
        <v>-160166.66666666669</v>
      </c>
      <c r="G58" s="1323" t="s">
        <v>660</v>
      </c>
    </row>
    <row r="59" spans="1:64">
      <c r="E59" s="1334"/>
      <c r="F59" s="1334"/>
    </row>
    <row r="66" spans="2:15" ht="15" customHeight="1" thickBot="1">
      <c r="B66" s="494" t="s">
        <v>666</v>
      </c>
      <c r="C66" s="494"/>
      <c r="D66" s="494"/>
      <c r="E66" s="1458"/>
      <c r="F66" s="449" t="s">
        <v>667</v>
      </c>
      <c r="G66" s="494"/>
      <c r="H66" s="494"/>
      <c r="I66" s="494"/>
      <c r="J66" s="494"/>
    </row>
    <row r="67" spans="2:15" ht="15" customHeight="1" thickTop="1" thickBot="1">
      <c r="B67" s="494" t="s">
        <v>668</v>
      </c>
      <c r="C67" s="494"/>
      <c r="D67" s="496">
        <v>120000</v>
      </c>
      <c r="F67" s="494" t="s">
        <v>427</v>
      </c>
      <c r="G67" s="494" t="s">
        <v>177</v>
      </c>
      <c r="H67" s="494" t="s">
        <v>669</v>
      </c>
      <c r="I67" s="494" t="s">
        <v>670</v>
      </c>
      <c r="J67" s="494" t="s">
        <v>671</v>
      </c>
    </row>
    <row r="68" spans="2:15" ht="15" customHeight="1" thickTop="1" thickBot="1">
      <c r="B68" s="494" t="s">
        <v>672</v>
      </c>
      <c r="C68" s="494"/>
      <c r="D68" s="496">
        <v>100000</v>
      </c>
      <c r="F68" s="494">
        <v>0</v>
      </c>
      <c r="G68" s="496">
        <v>0</v>
      </c>
      <c r="H68" s="497">
        <v>0</v>
      </c>
      <c r="I68" s="498">
        <v>0</v>
      </c>
      <c r="J68" s="499">
        <f>F58</f>
        <v>-160166.66666666669</v>
      </c>
      <c r="K68" s="419" t="s">
        <v>673</v>
      </c>
    </row>
    <row r="69" spans="2:15" ht="15" customHeight="1" thickTop="1" thickBot="1">
      <c r="B69" s="494" t="s">
        <v>674</v>
      </c>
      <c r="C69" s="494"/>
      <c r="D69" s="496">
        <v>80000</v>
      </c>
      <c r="F69" s="494">
        <v>1</v>
      </c>
      <c r="G69" s="496">
        <v>3500</v>
      </c>
      <c r="H69" s="497">
        <v>0</v>
      </c>
      <c r="I69" s="498">
        <f>J68</f>
        <v>-160166.66666666669</v>
      </c>
      <c r="J69" s="500">
        <f>I69*H70</f>
        <v>-22880.952380952374</v>
      </c>
    </row>
    <row r="70" spans="2:15" ht="15" customHeight="1" thickTop="1" thickBot="1">
      <c r="B70" s="494" t="s">
        <v>676</v>
      </c>
      <c r="C70" s="494"/>
      <c r="D70" s="496">
        <v>630000</v>
      </c>
      <c r="F70" s="494">
        <v>2</v>
      </c>
      <c r="G70" s="496">
        <v>4000</v>
      </c>
      <c r="H70" s="497">
        <f>G70/G69-1</f>
        <v>0.14285714285714279</v>
      </c>
      <c r="I70" s="498">
        <f>I69+J69</f>
        <v>-183047.61904761905</v>
      </c>
      <c r="J70" s="500">
        <f>I70*H71</f>
        <v>-22880.952380952382</v>
      </c>
    </row>
    <row r="71" spans="2:15" ht="15" customHeight="1" thickTop="1" thickBot="1">
      <c r="B71" s="501"/>
      <c r="C71" s="501" t="s">
        <v>677</v>
      </c>
      <c r="D71" s="496">
        <f>(D67-D68)*(D70/D69)</f>
        <v>157500</v>
      </c>
      <c r="F71" s="494">
        <v>3</v>
      </c>
      <c r="G71" s="496">
        <v>4500</v>
      </c>
      <c r="H71" s="497">
        <f>G71/G70-1</f>
        <v>0.125</v>
      </c>
      <c r="I71" s="498">
        <f>I70+J70</f>
        <v>-205928.57142857142</v>
      </c>
      <c r="J71" s="500">
        <f>I71*H72</f>
        <v>-50338.095238095237</v>
      </c>
    </row>
    <row r="72" spans="2:15" ht="15" customHeight="1" thickTop="1" thickBot="1">
      <c r="F72" s="494">
        <v>4</v>
      </c>
      <c r="G72" s="496">
        <v>5600</v>
      </c>
      <c r="H72" s="497">
        <f>G72/G71-1</f>
        <v>0.24444444444444446</v>
      </c>
      <c r="I72" s="498">
        <f>I71+J71</f>
        <v>-256266.66666666666</v>
      </c>
      <c r="J72" s="500">
        <f>I72*H73</f>
        <v>0</v>
      </c>
    </row>
    <row r="73" spans="2:15" ht="15" customHeight="1" thickTop="1" thickBot="1">
      <c r="F73" s="494">
        <v>5</v>
      </c>
      <c r="G73" s="496">
        <v>5600</v>
      </c>
      <c r="H73" s="497">
        <f>G73/G72-1</f>
        <v>0</v>
      </c>
      <c r="I73" s="498">
        <f>I72+J72</f>
        <v>-256266.66666666666</v>
      </c>
      <c r="J73" s="500">
        <f>I73*H74</f>
        <v>0</v>
      </c>
    </row>
    <row r="74" spans="2:15" ht="15" customHeight="1" thickTop="1">
      <c r="G74" s="419" t="s">
        <v>678</v>
      </c>
    </row>
    <row r="77" spans="2:15" ht="15" customHeight="1">
      <c r="K77" s="1322"/>
      <c r="L77" s="1322"/>
      <c r="M77" s="1322"/>
      <c r="N77" s="1322"/>
      <c r="O77" s="1322"/>
    </row>
    <row r="79" spans="2:15" ht="15" customHeight="1" thickBot="1"/>
    <row r="80" spans="2:15" ht="15" customHeight="1" thickBot="1">
      <c r="B80" s="1891" t="s">
        <v>679</v>
      </c>
      <c r="C80" s="1892"/>
      <c r="D80" s="1892"/>
      <c r="E80" s="1892"/>
      <c r="F80" s="1893"/>
    </row>
    <row r="81" spans="2:13" ht="15" customHeight="1">
      <c r="B81" s="1459" t="s">
        <v>680</v>
      </c>
      <c r="C81" s="1460" t="s">
        <v>681</v>
      </c>
      <c r="D81" s="1460" t="s">
        <v>682</v>
      </c>
      <c r="E81" s="1460" t="s">
        <v>683</v>
      </c>
      <c r="F81" s="1461" t="s">
        <v>684</v>
      </c>
    </row>
    <row r="82" spans="2:13" ht="15" customHeight="1">
      <c r="B82" s="1462" t="s">
        <v>685</v>
      </c>
      <c r="C82" s="1463">
        <v>1</v>
      </c>
      <c r="D82" s="1464">
        <v>330000</v>
      </c>
      <c r="E82" s="1465">
        <v>0.4</v>
      </c>
      <c r="F82" s="1466">
        <f>D82*(1+E82)*13*C82</f>
        <v>6005999.9999999991</v>
      </c>
    </row>
    <row r="83" spans="2:13" ht="15" customHeight="1">
      <c r="B83" s="1462" t="s">
        <v>686</v>
      </c>
      <c r="C83" s="1463">
        <v>4</v>
      </c>
      <c r="D83" s="1464">
        <v>170000</v>
      </c>
      <c r="E83" s="1467">
        <v>0.4</v>
      </c>
      <c r="F83" s="1466">
        <f>D83*(1+E83)*13*C83</f>
        <v>12375999.999999998</v>
      </c>
    </row>
    <row r="84" spans="2:13" ht="15" customHeight="1" thickBot="1">
      <c r="B84" s="1468"/>
      <c r="C84" s="1469"/>
      <c r="D84" s="1470"/>
      <c r="E84" s="1469"/>
      <c r="F84" s="1471">
        <f>D84*(1+E84)*13*C84</f>
        <v>0</v>
      </c>
    </row>
    <row r="85" spans="2:13" ht="15" customHeight="1" thickBot="1">
      <c r="C85" s="1472"/>
      <c r="D85" s="1472"/>
      <c r="E85" s="1473" t="s">
        <v>176</v>
      </c>
      <c r="F85" s="1474">
        <f>SUM(F82:F84)</f>
        <v>18381999.999999996</v>
      </c>
    </row>
    <row r="86" spans="2:13" ht="15" customHeight="1" thickBot="1"/>
    <row r="87" spans="2:13" ht="15" customHeight="1" thickBot="1">
      <c r="B87" s="1894" t="s">
        <v>576</v>
      </c>
      <c r="C87" s="1895"/>
      <c r="D87" s="1895"/>
      <c r="E87" s="1895"/>
      <c r="F87" s="1895"/>
      <c r="G87" s="1895"/>
      <c r="H87" s="1895"/>
      <c r="I87" s="1895"/>
      <c r="J87" s="1895"/>
      <c r="K87" s="1896"/>
    </row>
    <row r="88" spans="2:13" ht="15" customHeight="1">
      <c r="B88" s="1475" t="s">
        <v>577</v>
      </c>
      <c r="C88" s="1476" t="s">
        <v>578</v>
      </c>
      <c r="D88" s="1477" t="s">
        <v>579</v>
      </c>
      <c r="E88" s="1477" t="s">
        <v>102</v>
      </c>
      <c r="F88" s="1477" t="s">
        <v>580</v>
      </c>
      <c r="G88" s="1477" t="s">
        <v>581</v>
      </c>
      <c r="H88" s="1477" t="s">
        <v>582</v>
      </c>
      <c r="I88" s="1478" t="s">
        <v>583</v>
      </c>
      <c r="J88" s="1479" t="s">
        <v>584</v>
      </c>
      <c r="K88" s="1475" t="s">
        <v>585</v>
      </c>
      <c r="M88" s="1475" t="s">
        <v>586</v>
      </c>
    </row>
    <row r="89" spans="2:13" ht="15" customHeight="1">
      <c r="B89" s="1480" t="s">
        <v>587</v>
      </c>
      <c r="C89" s="1481">
        <v>580</v>
      </c>
      <c r="D89" s="1463" t="s">
        <v>519</v>
      </c>
      <c r="E89" s="1482"/>
      <c r="F89" s="1482">
        <v>0.2</v>
      </c>
      <c r="G89" s="1483">
        <f>1+F89</f>
        <v>1.2</v>
      </c>
      <c r="H89" s="1484">
        <f>C89*G89</f>
        <v>696</v>
      </c>
      <c r="I89" s="1463">
        <v>5</v>
      </c>
      <c r="J89" s="1485">
        <f>I89*H89*(1+E89)</f>
        <v>3480</v>
      </c>
      <c r="K89" s="1897">
        <f>SUM(J89:J93)</f>
        <v>4209.5</v>
      </c>
      <c r="L89" s="1717" t="s">
        <v>588</v>
      </c>
      <c r="M89" s="1900">
        <f>SUM(K89,L93)</f>
        <v>4409.5</v>
      </c>
    </row>
    <row r="90" spans="2:13" ht="15" customHeight="1">
      <c r="B90" s="1480" t="s">
        <v>589</v>
      </c>
      <c r="C90" s="1481">
        <v>100</v>
      </c>
      <c r="D90" s="1463" t="s">
        <v>519</v>
      </c>
      <c r="E90" s="1482">
        <v>0.1</v>
      </c>
      <c r="F90" s="1482"/>
      <c r="G90" s="1483">
        <f>1+F90</f>
        <v>1</v>
      </c>
      <c r="H90" s="1484">
        <f>C90*G90</f>
        <v>100</v>
      </c>
      <c r="I90" s="1483">
        <v>1</v>
      </c>
      <c r="J90" s="1485">
        <f>I90*H90*(1+E90)</f>
        <v>110.00000000000001</v>
      </c>
      <c r="K90" s="1898"/>
      <c r="L90" s="1717"/>
      <c r="M90" s="1900"/>
    </row>
    <row r="91" spans="2:13" ht="15" customHeight="1">
      <c r="B91" s="1480" t="s">
        <v>590</v>
      </c>
      <c r="C91" s="1481">
        <v>150</v>
      </c>
      <c r="D91" s="1463" t="s">
        <v>591</v>
      </c>
      <c r="E91" s="1482"/>
      <c r="F91" s="1482"/>
      <c r="G91" s="1483">
        <f>1+F91</f>
        <v>1</v>
      </c>
      <c r="H91" s="1484">
        <f>C91*G91</f>
        <v>150</v>
      </c>
      <c r="I91" s="1463">
        <v>0.35</v>
      </c>
      <c r="J91" s="1485">
        <f>I91*H91*(1+E91)</f>
        <v>52.5</v>
      </c>
      <c r="K91" s="1898"/>
      <c r="L91" s="1717"/>
      <c r="M91" s="1900"/>
    </row>
    <row r="92" spans="2:13" ht="15" customHeight="1">
      <c r="B92" s="1480" t="s">
        <v>592</v>
      </c>
      <c r="C92" s="1481">
        <v>63</v>
      </c>
      <c r="D92" s="1463" t="s">
        <v>591</v>
      </c>
      <c r="E92" s="1482"/>
      <c r="F92" s="1482"/>
      <c r="G92" s="1483">
        <f>1+F92</f>
        <v>1</v>
      </c>
      <c r="H92" s="1484">
        <f>C92*G92</f>
        <v>63</v>
      </c>
      <c r="I92" s="1463">
        <v>8</v>
      </c>
      <c r="J92" s="1485">
        <f>I92*H92*(1+E92)</f>
        <v>504</v>
      </c>
      <c r="K92" s="1898"/>
      <c r="L92" s="1717"/>
      <c r="M92" s="1900"/>
    </row>
    <row r="93" spans="2:13" ht="15" customHeight="1" thickBot="1">
      <c r="B93" s="1486" t="s">
        <v>593</v>
      </c>
      <c r="C93" s="1487">
        <v>63</v>
      </c>
      <c r="D93" s="1469" t="s">
        <v>594</v>
      </c>
      <c r="E93" s="1488"/>
      <c r="F93" s="1488"/>
      <c r="G93" s="1483">
        <f>1+F93</f>
        <v>1</v>
      </c>
      <c r="H93" s="1484">
        <f>C93*G93</f>
        <v>63</v>
      </c>
      <c r="I93" s="1469">
        <v>1</v>
      </c>
      <c r="J93" s="1485">
        <f>I93*H93*(1+E93)</f>
        <v>63</v>
      </c>
      <c r="K93" s="1899"/>
      <c r="L93" s="1489">
        <v>200</v>
      </c>
      <c r="M93" s="1900"/>
    </row>
    <row r="94" spans="2:13" ht="15" customHeight="1">
      <c r="C94" s="419" t="s">
        <v>595</v>
      </c>
      <c r="E94" s="1719" t="s">
        <v>596</v>
      </c>
      <c r="F94" s="1720"/>
      <c r="I94" s="419" t="s">
        <v>595</v>
      </c>
      <c r="L94" s="419" t="s">
        <v>597</v>
      </c>
    </row>
    <row r="104" spans="2:4" ht="15" customHeight="1">
      <c r="B104" s="1323" t="s">
        <v>1373</v>
      </c>
      <c r="C104" s="1323" t="s">
        <v>1374</v>
      </c>
      <c r="D104" s="1323" t="s">
        <v>1375</v>
      </c>
    </row>
    <row r="105" spans="2:4" ht="15" customHeight="1">
      <c r="B105" s="1323" t="s">
        <v>1376</v>
      </c>
      <c r="C105" s="1323">
        <v>0.5</v>
      </c>
      <c r="D105" s="1323">
        <f>C105*400</f>
        <v>200</v>
      </c>
    </row>
    <row r="106" spans="2:4" ht="15" customHeight="1">
      <c r="B106" s="1323" t="s">
        <v>1377</v>
      </c>
      <c r="C106" s="1323">
        <v>0.3</v>
      </c>
      <c r="D106" s="1323">
        <f>C106*400</f>
        <v>120</v>
      </c>
    </row>
  </sheetData>
  <mergeCells count="16">
    <mergeCell ref="BA5:BL5"/>
    <mergeCell ref="E20:P20"/>
    <mergeCell ref="Q20:AB20"/>
    <mergeCell ref="AC20:AN20"/>
    <mergeCell ref="AO20:AZ20"/>
    <mergeCell ref="BA20:BL20"/>
    <mergeCell ref="E94:F94"/>
    <mergeCell ref="E5:P5"/>
    <mergeCell ref="Q5:AB5"/>
    <mergeCell ref="AC5:AN5"/>
    <mergeCell ref="AO5:AZ5"/>
    <mergeCell ref="B80:F80"/>
    <mergeCell ref="B87:K87"/>
    <mergeCell ref="K89:K93"/>
    <mergeCell ref="L89:L92"/>
    <mergeCell ref="M89:M93"/>
  </mergeCells>
  <conditionalFormatting sqref="B80">
    <cfRule type="containsText" dxfId="1" priority="1" operator="containsText" text="999">
      <formula>NOT(ISERROR(SEARCH(("999"),(B80))))</formula>
    </cfRule>
  </conditionalFormatting>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CECF-DDB0-4DA3-BC10-567EF6903DE9}">
  <sheetPr>
    <outlinePr summaryBelow="0" summaryRight="0"/>
  </sheetPr>
  <dimension ref="A1:V1001"/>
  <sheetViews>
    <sheetView topLeftCell="A30" zoomScale="90" zoomScaleNormal="90" workbookViewId="0">
      <selection activeCell="F15" sqref="F15"/>
    </sheetView>
  </sheetViews>
  <sheetFormatPr defaultColWidth="14.42578125" defaultRowHeight="15" customHeight="1"/>
  <cols>
    <col min="1" max="1" width="21.85546875" style="1323" customWidth="1"/>
    <col min="2" max="2" width="14.42578125" style="1323"/>
    <col min="3" max="3" width="10.28515625" style="1323" customWidth="1"/>
    <col min="4" max="4" width="12.140625" style="1323" customWidth="1"/>
    <col min="5" max="5" width="14.42578125" style="1323"/>
    <col min="6" max="6" width="7.5703125" style="1323" customWidth="1"/>
    <col min="7" max="7" width="12.42578125" style="1323" customWidth="1"/>
    <col min="8" max="8" width="10.5703125" style="1323" customWidth="1"/>
    <col min="9" max="9" width="4" style="1323" customWidth="1"/>
    <col min="10" max="10" width="3.5703125" style="1323" customWidth="1"/>
    <col min="11" max="11" width="17.85546875" style="1323" customWidth="1"/>
    <col min="12" max="12" width="11.28515625" style="1323" customWidth="1"/>
    <col min="13" max="13" width="46.28515625" style="1323" customWidth="1"/>
    <col min="14" max="14" width="11.85546875" style="1323" customWidth="1"/>
    <col min="15" max="16384" width="14.42578125" style="1323"/>
  </cols>
  <sheetData>
    <row r="1" spans="1:20" ht="14.25">
      <c r="F1" s="1426"/>
      <c r="K1" s="1490"/>
      <c r="M1" s="1490"/>
    </row>
    <row r="2" spans="1:20" ht="15" customHeight="1">
      <c r="B2" s="1491"/>
      <c r="C2" s="1491"/>
      <c r="D2" s="1491"/>
      <c r="E2" s="1491" t="s">
        <v>1378</v>
      </c>
      <c r="F2" s="1491"/>
      <c r="G2" s="1491"/>
      <c r="H2" s="1491"/>
      <c r="I2" s="1491"/>
      <c r="J2" s="1491"/>
      <c r="K2" s="1491"/>
      <c r="L2" s="1491"/>
      <c r="M2" s="1492"/>
      <c r="N2" s="1491"/>
      <c r="O2" s="1491"/>
    </row>
    <row r="3" spans="1:20" ht="15" customHeight="1" thickBot="1">
      <c r="A3" s="1426"/>
      <c r="B3" s="1413"/>
      <c r="C3" s="1413"/>
      <c r="D3" s="1413"/>
      <c r="E3" s="1413"/>
      <c r="F3" s="1413"/>
      <c r="G3" s="1413"/>
      <c r="H3" s="1413"/>
      <c r="I3" s="1413"/>
      <c r="J3" s="1413"/>
      <c r="K3" s="1904" t="s">
        <v>1379</v>
      </c>
      <c r="L3" s="1904"/>
      <c r="M3" s="1490"/>
      <c r="N3" s="1426"/>
      <c r="O3" s="1426"/>
      <c r="P3" s="1426"/>
      <c r="Q3" s="1426"/>
      <c r="R3" s="1426"/>
      <c r="S3" s="1426"/>
      <c r="T3" s="1426"/>
    </row>
    <row r="4" spans="1:20" ht="15.75" customHeight="1" thickBot="1">
      <c r="A4" s="1413"/>
      <c r="B4" s="1493" t="s">
        <v>141</v>
      </c>
      <c r="C4" s="1494" t="s">
        <v>142</v>
      </c>
      <c r="E4" s="1413"/>
      <c r="F4" s="1495"/>
      <c r="G4" s="1413"/>
      <c r="H4" s="1413"/>
      <c r="I4" s="1413"/>
      <c r="J4" s="1413"/>
      <c r="K4" s="1905"/>
      <c r="L4" s="1905"/>
      <c r="M4" s="1490"/>
      <c r="N4" s="1426"/>
      <c r="O4" s="1426"/>
    </row>
    <row r="5" spans="1:20" ht="15.75" thickBot="1">
      <c r="A5" s="1413" t="s">
        <v>1380</v>
      </c>
      <c r="B5" s="1496" t="s">
        <v>143</v>
      </c>
      <c r="C5" s="1497">
        <f>C6+C7*(C8-C6)</f>
        <v>0.15</v>
      </c>
      <c r="D5" s="1498" t="s">
        <v>1381</v>
      </c>
      <c r="E5" s="1413"/>
      <c r="F5" s="1426"/>
      <c r="G5" s="1413"/>
      <c r="H5" s="1413"/>
      <c r="I5" s="1413"/>
      <c r="J5" s="1413"/>
      <c r="K5" s="1493" t="s">
        <v>1382</v>
      </c>
      <c r="L5" s="1494" t="s">
        <v>142</v>
      </c>
      <c r="M5" s="1490"/>
      <c r="N5" s="1905" t="s">
        <v>1383</v>
      </c>
      <c r="O5" s="1905"/>
    </row>
    <row r="6" spans="1:20" ht="15.75" thickBot="1">
      <c r="A6" s="1906" t="s">
        <v>1384</v>
      </c>
      <c r="B6" s="1499" t="s">
        <v>144</v>
      </c>
      <c r="C6" s="1500">
        <v>0.01</v>
      </c>
      <c r="D6" s="1490" t="s">
        <v>1385</v>
      </c>
      <c r="E6" s="1413"/>
      <c r="F6" s="1426"/>
      <c r="G6" s="1413"/>
      <c r="H6" s="1413"/>
      <c r="I6" s="1413"/>
      <c r="J6" s="1413"/>
      <c r="K6" s="1501" t="s">
        <v>1386</v>
      </c>
      <c r="L6" s="1502">
        <f>552500</f>
        <v>552500</v>
      </c>
      <c r="M6" s="1490" t="s">
        <v>1387</v>
      </c>
      <c r="N6" s="1380" t="s">
        <v>1104</v>
      </c>
      <c r="O6" s="1380"/>
    </row>
    <row r="7" spans="1:20" ht="15" customHeight="1">
      <c r="A7" s="1906"/>
      <c r="B7" s="1503" t="s">
        <v>7</v>
      </c>
      <c r="C7" s="1504">
        <v>1</v>
      </c>
      <c r="D7" s="1325" t="s">
        <v>1388</v>
      </c>
      <c r="E7" s="1413"/>
      <c r="F7" s="1426"/>
      <c r="G7" s="1413"/>
      <c r="H7" s="1413"/>
      <c r="I7" s="1413"/>
      <c r="J7" s="1413"/>
      <c r="K7" s="1501" t="s">
        <v>172</v>
      </c>
      <c r="L7" s="1505">
        <f>30000+50000+150000</f>
        <v>230000</v>
      </c>
      <c r="M7" s="1490" t="s">
        <v>1389</v>
      </c>
      <c r="N7" s="1493" t="s">
        <v>483</v>
      </c>
      <c r="O7" s="1494" t="s">
        <v>1390</v>
      </c>
    </row>
    <row r="8" spans="1:20" thickBot="1">
      <c r="A8" s="1906"/>
      <c r="B8" s="1503" t="s">
        <v>146</v>
      </c>
      <c r="C8" s="1504">
        <v>0.15</v>
      </c>
      <c r="D8" s="1490" t="s">
        <v>1391</v>
      </c>
      <c r="E8" s="1413"/>
      <c r="F8" s="1426"/>
      <c r="G8" s="1413"/>
      <c r="H8" s="1413"/>
      <c r="I8" s="1413"/>
      <c r="J8" s="1413"/>
      <c r="K8" s="1501" t="s">
        <v>227</v>
      </c>
      <c r="L8" s="1505">
        <f>300000+22500</f>
        <v>322500</v>
      </c>
      <c r="M8" s="1490" t="s">
        <v>1392</v>
      </c>
      <c r="N8" s="1506">
        <f>30000+50000</f>
        <v>80000</v>
      </c>
      <c r="O8" s="1507">
        <v>0.15</v>
      </c>
    </row>
    <row r="9" spans="1:20" ht="14.25">
      <c r="A9" s="1413"/>
      <c r="B9" s="1503" t="s">
        <v>565</v>
      </c>
      <c r="C9" s="1504">
        <v>0</v>
      </c>
      <c r="D9" s="1490"/>
      <c r="E9" s="1413"/>
      <c r="F9" s="1426"/>
      <c r="G9" s="1413"/>
      <c r="H9" s="1413"/>
      <c r="I9" s="1413"/>
      <c r="J9" s="1413"/>
      <c r="K9" s="1508" t="s">
        <v>152</v>
      </c>
      <c r="L9" s="1509">
        <f>L8/L6</f>
        <v>0.58371040723981904</v>
      </c>
      <c r="M9" s="1490" t="s">
        <v>1393</v>
      </c>
      <c r="N9" s="1506">
        <v>150000</v>
      </c>
      <c r="O9" s="1507">
        <v>0.09</v>
      </c>
    </row>
    <row r="10" spans="1:20" thickBot="1">
      <c r="A10" s="1413"/>
      <c r="B10" s="1496" t="s">
        <v>566</v>
      </c>
      <c r="C10" s="1510">
        <f>C8-C6</f>
        <v>0.13999999999999999</v>
      </c>
      <c r="D10" s="1490"/>
      <c r="E10" s="1413"/>
      <c r="F10" s="1426"/>
      <c r="G10" s="1413" t="s">
        <v>1394</v>
      </c>
      <c r="H10" s="1413"/>
      <c r="I10" s="1413"/>
      <c r="J10" s="1413"/>
      <c r="K10" s="1511" t="s">
        <v>154</v>
      </c>
      <c r="L10" s="1512">
        <f>L7/L6</f>
        <v>0.41628959276018102</v>
      </c>
      <c r="M10" s="1490" t="s">
        <v>1395</v>
      </c>
      <c r="N10" s="1506"/>
      <c r="O10" s="1507"/>
    </row>
    <row r="11" spans="1:20" ht="15" customHeight="1" thickBot="1">
      <c r="A11" s="1413"/>
      <c r="B11" s="1513" t="s">
        <v>148</v>
      </c>
      <c r="C11" s="1504">
        <v>0.2</v>
      </c>
      <c r="D11" s="1323" t="s">
        <v>1396</v>
      </c>
      <c r="E11" s="1413"/>
      <c r="F11" s="1426"/>
      <c r="G11" s="1413"/>
      <c r="H11" s="1413"/>
      <c r="I11" s="1413"/>
      <c r="J11" s="1413"/>
      <c r="K11" s="1426"/>
      <c r="L11" s="1426"/>
      <c r="N11" s="1514"/>
      <c r="O11" s="1515"/>
    </row>
    <row r="12" spans="1:20" thickBot="1">
      <c r="A12" s="1413"/>
      <c r="B12" s="1513" t="s">
        <v>150</v>
      </c>
      <c r="C12" s="1504">
        <v>0</v>
      </c>
      <c r="D12" s="1490" t="s">
        <v>1397</v>
      </c>
      <c r="E12" s="1413"/>
      <c r="F12" s="1426"/>
      <c r="G12" s="1413"/>
      <c r="H12" s="1413"/>
      <c r="I12" s="1413"/>
      <c r="J12" s="1413"/>
      <c r="K12" s="1426"/>
      <c r="L12" s="1426"/>
      <c r="M12" s="1490"/>
      <c r="N12" s="1516" t="s">
        <v>1398</v>
      </c>
      <c r="O12" s="1517">
        <f>SUMPRODUCT(N8:N11,O8:O11)/SUM(N8:N11)</f>
        <v>0.1108695652173913</v>
      </c>
    </row>
    <row r="13" spans="1:20">
      <c r="A13" s="1413"/>
      <c r="B13" s="1513" t="s">
        <v>152</v>
      </c>
      <c r="C13" s="1504">
        <v>0.6</v>
      </c>
      <c r="D13" s="1323" t="s">
        <v>1399</v>
      </c>
      <c r="E13" s="1413"/>
      <c r="F13" s="1413"/>
      <c r="G13" s="1413"/>
      <c r="H13" s="1413"/>
      <c r="I13" s="1413"/>
      <c r="J13" s="1413"/>
      <c r="K13" s="1907" t="s">
        <v>1400</v>
      </c>
      <c r="L13" s="1908"/>
      <c r="M13" s="1490"/>
      <c r="N13" s="1426"/>
      <c r="O13" s="1426"/>
    </row>
    <row r="14" spans="1:20" ht="14.25">
      <c r="A14" s="1413"/>
      <c r="B14" s="1513" t="s">
        <v>154</v>
      </c>
      <c r="C14" s="1504">
        <v>0.4</v>
      </c>
      <c r="D14" s="1323" t="s">
        <v>1401</v>
      </c>
      <c r="E14" s="1413"/>
      <c r="F14" s="1413"/>
      <c r="G14" s="1413"/>
      <c r="H14" s="1413"/>
      <c r="I14" s="1413"/>
      <c r="J14" s="1413"/>
      <c r="K14" s="1501" t="s">
        <v>143</v>
      </c>
      <c r="L14" s="1502">
        <f>L15/L16</f>
        <v>0</v>
      </c>
      <c r="M14" s="1490"/>
      <c r="N14" s="1426"/>
      <c r="O14" s="1426"/>
      <c r="P14" s="1426"/>
      <c r="Q14" s="1426"/>
      <c r="R14" s="1426"/>
      <c r="S14" s="1426"/>
      <c r="T14" s="1426"/>
    </row>
    <row r="15" spans="1:20" ht="15" customHeight="1">
      <c r="A15" s="1413"/>
      <c r="B15" s="1518"/>
      <c r="C15" s="1519"/>
      <c r="E15" s="1413"/>
      <c r="F15" s="1413"/>
      <c r="G15" s="1413"/>
      <c r="H15" s="1413"/>
      <c r="I15" s="1413"/>
      <c r="J15" s="1413"/>
      <c r="K15" s="1501" t="s">
        <v>1326</v>
      </c>
      <c r="L15" s="1520"/>
      <c r="M15" s="1490" t="s">
        <v>1402</v>
      </c>
      <c r="N15" s="1426"/>
      <c r="O15" s="1426"/>
    </row>
    <row r="16" spans="1:20" thickBot="1">
      <c r="A16" s="1413"/>
      <c r="B16" s="1521" t="s">
        <v>140</v>
      </c>
      <c r="C16" s="1522">
        <f>(C5*C13)+(C12*C14*(1-C11))</f>
        <v>0.09</v>
      </c>
      <c r="E16" s="1413"/>
      <c r="F16" s="1413"/>
      <c r="G16" s="1413"/>
      <c r="H16" s="1413"/>
      <c r="I16" s="1413"/>
      <c r="J16" s="1413"/>
      <c r="K16" s="1523" t="s">
        <v>227</v>
      </c>
      <c r="L16" s="1524">
        <f>552500</f>
        <v>552500</v>
      </c>
      <c r="M16" s="1490" t="s">
        <v>1403</v>
      </c>
      <c r="N16" s="1426"/>
      <c r="O16" s="1426"/>
    </row>
    <row r="17" spans="1:22" ht="15" customHeight="1">
      <c r="A17" s="1413"/>
      <c r="B17" s="1909" t="s">
        <v>1404</v>
      </c>
      <c r="C17" s="1909"/>
      <c r="E17" s="1413"/>
      <c r="F17" s="1413"/>
      <c r="G17" s="1413"/>
      <c r="H17" s="1413"/>
      <c r="I17" s="1413"/>
      <c r="J17" s="1413"/>
      <c r="K17" s="1911" t="s">
        <v>1405</v>
      </c>
      <c r="L17" s="1911"/>
      <c r="M17" s="1490"/>
      <c r="N17" s="1426"/>
      <c r="O17" s="1426"/>
    </row>
    <row r="18" spans="1:22" ht="15" customHeight="1" thickBot="1">
      <c r="B18" s="1910"/>
      <c r="C18" s="1910"/>
      <c r="E18" s="1413"/>
      <c r="F18" s="1413"/>
      <c r="G18" s="1413"/>
      <c r="H18" s="1413"/>
      <c r="I18" s="1413"/>
      <c r="J18" s="1413"/>
      <c r="K18" s="1912"/>
      <c r="L18" s="1912"/>
      <c r="M18" s="1490"/>
    </row>
    <row r="19" spans="1:22" ht="15" customHeight="1">
      <c r="B19" s="1525" t="s">
        <v>1406</v>
      </c>
      <c r="C19" s="1525"/>
      <c r="D19" s="1404"/>
      <c r="E19" s="1404"/>
      <c r="F19" s="1404"/>
      <c r="S19" s="1913" t="s">
        <v>1407</v>
      </c>
      <c r="T19" s="1914"/>
      <c r="U19" s="1914"/>
      <c r="V19" s="1915"/>
    </row>
    <row r="20" spans="1:22" thickBot="1">
      <c r="B20" s="1525" t="s">
        <v>1408</v>
      </c>
      <c r="C20" s="1525"/>
      <c r="D20" s="1404"/>
      <c r="E20" s="1404"/>
      <c r="F20" s="1404"/>
      <c r="S20" s="1526"/>
      <c r="V20" s="1527"/>
    </row>
    <row r="21" spans="1:22">
      <c r="B21" s="1413"/>
      <c r="C21" s="1413"/>
      <c r="S21" s="1526"/>
      <c r="T21" s="1901" t="s">
        <v>1409</v>
      </c>
      <c r="U21" s="1902"/>
      <c r="V21" s="1527"/>
    </row>
    <row r="22" spans="1:22" ht="15" customHeight="1">
      <c r="B22" s="1528" t="s">
        <v>1410</v>
      </c>
      <c r="C22" s="1528"/>
      <c r="D22" s="1529"/>
      <c r="E22" s="1530"/>
      <c r="F22" s="1530"/>
      <c r="G22" s="1530"/>
      <c r="H22" s="1530"/>
      <c r="I22" s="1530"/>
      <c r="J22" s="1530"/>
      <c r="K22" s="1528"/>
      <c r="L22" s="1528"/>
      <c r="M22" s="1531"/>
      <c r="N22" s="1530"/>
      <c r="O22" s="1530"/>
      <c r="S22" s="1526"/>
      <c r="T22" s="1462" t="s">
        <v>1411</v>
      </c>
      <c r="U22" s="1532">
        <f>21/100</f>
        <v>0.21</v>
      </c>
      <c r="V22" s="1533"/>
    </row>
    <row r="23" spans="1:22" ht="14.25">
      <c r="B23" s="1534"/>
      <c r="C23" s="1534"/>
      <c r="D23" s="1529"/>
      <c r="E23" s="1528"/>
      <c r="F23" s="1528"/>
      <c r="G23" s="1528"/>
      <c r="H23" s="1528"/>
      <c r="I23" s="1528"/>
      <c r="J23" s="1528"/>
      <c r="K23" s="1535"/>
      <c r="L23" s="1534"/>
      <c r="M23" s="1528"/>
      <c r="N23" s="1534"/>
      <c r="O23" s="1534"/>
      <c r="S23" s="1526"/>
      <c r="T23" s="1462" t="s">
        <v>1412</v>
      </c>
      <c r="U23" s="1532">
        <v>0.3</v>
      </c>
      <c r="V23" s="1533"/>
    </row>
    <row r="24" spans="1:22" ht="14.25">
      <c r="B24" s="1528" t="s">
        <v>1413</v>
      </c>
      <c r="C24" s="1530"/>
      <c r="D24" s="1529"/>
      <c r="E24" s="1534"/>
      <c r="F24" s="1529"/>
      <c r="G24" s="1534"/>
      <c r="H24" s="1534"/>
      <c r="I24" s="1534"/>
      <c r="J24" s="1534"/>
      <c r="K24" s="1531"/>
      <c r="L24" s="1530"/>
      <c r="M24" s="1535"/>
      <c r="N24" s="1534"/>
      <c r="O24" s="1534"/>
      <c r="S24" s="1526"/>
      <c r="T24" s="1462" t="s">
        <v>1414</v>
      </c>
      <c r="U24" s="1532">
        <v>0.3</v>
      </c>
      <c r="V24" s="1533"/>
    </row>
    <row r="25" spans="1:22" ht="15" customHeight="1">
      <c r="B25" s="1528" t="s">
        <v>1415</v>
      </c>
      <c r="C25" s="1528"/>
      <c r="D25" s="1529"/>
      <c r="E25" s="1530"/>
      <c r="F25" s="1530"/>
      <c r="G25" s="1530"/>
      <c r="H25" s="1528" t="s">
        <v>1416</v>
      </c>
      <c r="I25" s="1530"/>
      <c r="J25" s="1530"/>
      <c r="K25" s="1535"/>
      <c r="L25" s="1534"/>
      <c r="M25" s="1531"/>
      <c r="N25" s="1530"/>
      <c r="O25" s="1530"/>
      <c r="S25" s="1526"/>
      <c r="T25" s="1462" t="s">
        <v>1417</v>
      </c>
      <c r="U25" s="1532">
        <v>0.1</v>
      </c>
      <c r="V25" s="1533"/>
    </row>
    <row r="26" spans="1:22" ht="14.25">
      <c r="B26" s="1534"/>
      <c r="C26" s="1534"/>
      <c r="D26" s="1528"/>
      <c r="E26" s="1534"/>
      <c r="F26" s="1529"/>
      <c r="G26" s="1534"/>
      <c r="H26" s="1534"/>
      <c r="I26" s="1534"/>
      <c r="J26" s="1534"/>
      <c r="K26" s="1531" t="s">
        <v>1418</v>
      </c>
      <c r="L26" s="1530"/>
      <c r="M26" s="1535"/>
      <c r="N26" s="1534"/>
      <c r="O26" s="1534"/>
      <c r="S26" s="1526"/>
      <c r="T26" s="1536" t="s">
        <v>144</v>
      </c>
      <c r="U26" s="1532">
        <v>0.05</v>
      </c>
      <c r="V26" s="1533"/>
    </row>
    <row r="27" spans="1:22" ht="15" customHeight="1" thickBot="1">
      <c r="B27" s="1528" t="s">
        <v>1419</v>
      </c>
      <c r="C27" s="1530"/>
      <c r="D27" s="1534"/>
      <c r="E27" s="1530"/>
      <c r="F27" s="1530"/>
      <c r="G27" s="1530" t="s">
        <v>1420</v>
      </c>
      <c r="H27" s="1530"/>
      <c r="I27" s="1530"/>
      <c r="J27" s="1530"/>
      <c r="K27" s="1535"/>
      <c r="L27" s="1534"/>
      <c r="M27" s="1531"/>
      <c r="N27" s="1530"/>
      <c r="O27" s="1530"/>
      <c r="S27" s="1526"/>
      <c r="T27" s="1537" t="s">
        <v>1421</v>
      </c>
      <c r="U27" s="1538">
        <f>SUM(U22:U26)</f>
        <v>0.96000000000000008</v>
      </c>
      <c r="V27" s="1527"/>
    </row>
    <row r="28" spans="1:22">
      <c r="B28" s="1534"/>
      <c r="C28" s="1534"/>
      <c r="D28" s="1530"/>
      <c r="E28" s="1534"/>
      <c r="F28" s="1529"/>
      <c r="G28" s="1534"/>
      <c r="H28" s="1534"/>
      <c r="I28" s="1534"/>
      <c r="J28" s="1534"/>
      <c r="K28" s="1539" t="s">
        <v>1422</v>
      </c>
      <c r="L28" s="1540" t="s">
        <v>229</v>
      </c>
      <c r="M28" s="1535"/>
      <c r="N28" s="1534"/>
      <c r="O28" s="1534"/>
      <c r="S28" s="1526"/>
      <c r="U28" s="1334"/>
      <c r="V28" s="1527"/>
    </row>
    <row r="29" spans="1:22" ht="15" customHeight="1">
      <c r="B29" s="1530" t="s">
        <v>1423</v>
      </c>
      <c r="C29" s="1530"/>
      <c r="D29" s="1528"/>
      <c r="E29" s="1530"/>
      <c r="F29" s="1530"/>
      <c r="G29" s="1539" t="s">
        <v>1424</v>
      </c>
      <c r="H29" s="1540" t="s">
        <v>1425</v>
      </c>
      <c r="I29" s="1539"/>
      <c r="J29" s="1530"/>
      <c r="K29" s="1539"/>
      <c r="L29" s="1541" t="s">
        <v>1426</v>
      </c>
      <c r="M29" s="1542"/>
      <c r="N29" s="1530" t="s">
        <v>1427</v>
      </c>
      <c r="O29" s="1530"/>
      <c r="S29" s="1526"/>
      <c r="T29" s="1903" t="s">
        <v>1428</v>
      </c>
      <c r="U29" s="1903"/>
      <c r="V29" s="1527"/>
    </row>
    <row r="30" spans="1:22" ht="15" customHeight="1" thickBot="1">
      <c r="B30" s="1534"/>
      <c r="C30" s="1534"/>
      <c r="D30" s="1534"/>
      <c r="E30" s="1530"/>
      <c r="F30" s="1530"/>
      <c r="G30" s="1539"/>
      <c r="H30" s="1541" t="s">
        <v>1426</v>
      </c>
      <c r="I30" s="1539"/>
      <c r="J30" s="1530"/>
      <c r="K30" s="1531" t="s">
        <v>1429</v>
      </c>
      <c r="L30" s="1530"/>
      <c r="M30" s="1542"/>
      <c r="N30" s="1530" t="s">
        <v>1430</v>
      </c>
      <c r="O30" s="1530"/>
      <c r="S30" s="1543"/>
      <c r="T30" s="1544"/>
      <c r="U30" s="1544"/>
      <c r="V30" s="1545"/>
    </row>
    <row r="31" spans="1:22" ht="15" customHeight="1">
      <c r="B31" s="1539" t="s">
        <v>267</v>
      </c>
      <c r="C31" s="1539" t="s">
        <v>1431</v>
      </c>
      <c r="D31" s="1530"/>
      <c r="E31" s="1530"/>
      <c r="F31" s="1530"/>
      <c r="G31" s="1530" t="s">
        <v>1432</v>
      </c>
      <c r="H31" s="1530"/>
      <c r="I31" s="1530"/>
      <c r="J31" s="1530"/>
      <c r="K31" s="1535"/>
      <c r="L31" s="1529"/>
      <c r="M31" s="1531"/>
      <c r="N31" s="1530"/>
      <c r="O31" s="1530"/>
    </row>
    <row r="32" spans="1:22" ht="15" customHeight="1">
      <c r="A32" s="1426"/>
      <c r="B32" s="1539"/>
      <c r="C32" s="1539"/>
      <c r="D32" s="1534"/>
      <c r="E32" s="1529"/>
      <c r="F32" s="1529"/>
      <c r="G32" s="1529"/>
      <c r="H32" s="1529"/>
      <c r="I32" s="1529"/>
      <c r="J32" s="1529"/>
      <c r="K32" s="1531"/>
      <c r="L32" s="1530"/>
      <c r="M32" s="1535"/>
      <c r="N32" s="1529"/>
      <c r="O32" s="1529"/>
      <c r="P32" s="1426"/>
      <c r="Q32" s="1426"/>
      <c r="R32" s="1426"/>
      <c r="S32" s="1426"/>
      <c r="T32" s="1426"/>
    </row>
    <row r="33" spans="2:15" ht="15" customHeight="1">
      <c r="B33" s="1530"/>
      <c r="C33" s="1530"/>
      <c r="D33" s="1530"/>
      <c r="E33" s="1530"/>
      <c r="F33" s="1530"/>
      <c r="G33" s="1530"/>
      <c r="H33" s="1530"/>
      <c r="I33" s="1530"/>
      <c r="J33" s="1530"/>
      <c r="K33" s="1535"/>
      <c r="L33" s="1534"/>
      <c r="M33" s="1531"/>
      <c r="N33" s="1530"/>
      <c r="O33" s="1530"/>
    </row>
    <row r="34" spans="2:15" ht="14.25">
      <c r="B34" s="1529"/>
      <c r="C34" s="1529"/>
      <c r="D34" s="1534"/>
      <c r="E34" s="1534"/>
      <c r="F34" s="1529"/>
      <c r="G34" s="1534"/>
      <c r="H34" s="1534"/>
      <c r="I34" s="1534"/>
      <c r="J34" s="1534"/>
      <c r="K34" s="1535"/>
      <c r="L34" s="1534"/>
      <c r="M34" s="1535"/>
      <c r="N34" s="1534"/>
      <c r="O34" s="1534"/>
    </row>
    <row r="35" spans="2:15" ht="14.25">
      <c r="B35" s="1530" t="s">
        <v>1433</v>
      </c>
      <c r="C35" s="1530"/>
      <c r="D35" s="1539"/>
      <c r="E35" s="1534"/>
      <c r="F35" s="1529"/>
      <c r="G35" s="1534"/>
      <c r="H35" s="1534"/>
      <c r="I35" s="1534"/>
      <c r="J35" s="1534"/>
      <c r="K35" s="1531"/>
      <c r="L35" s="1530"/>
      <c r="M35" s="1535"/>
      <c r="N35" s="1534"/>
      <c r="O35" s="1534"/>
    </row>
    <row r="36" spans="2:15" ht="15" customHeight="1">
      <c r="B36" s="1534"/>
      <c r="C36" s="1534"/>
      <c r="D36" s="1539"/>
      <c r="E36" s="1530"/>
      <c r="F36" s="1530"/>
      <c r="G36" s="1530"/>
      <c r="H36" s="1530"/>
      <c r="I36" s="1530"/>
      <c r="J36" s="1530"/>
      <c r="K36" s="1535"/>
      <c r="L36" s="1534"/>
      <c r="M36" s="1531"/>
      <c r="N36" s="1530"/>
      <c r="O36" s="1530"/>
    </row>
    <row r="37" spans="2:15" ht="14.25">
      <c r="B37" s="1534"/>
      <c r="C37" s="1534"/>
      <c r="D37" s="1530"/>
      <c r="E37" s="1534"/>
      <c r="F37" s="1529"/>
      <c r="G37" s="1534"/>
      <c r="H37" s="1534"/>
      <c r="I37" s="1534"/>
      <c r="J37" s="1534"/>
      <c r="K37" s="1535"/>
      <c r="L37" s="1534"/>
      <c r="M37" s="1535"/>
      <c r="N37" s="1534"/>
      <c r="O37" s="1534"/>
    </row>
    <row r="38" spans="2:15" ht="14.25">
      <c r="B38" s="1528" t="s">
        <v>1434</v>
      </c>
      <c r="C38" s="1530"/>
      <c r="D38" s="1529"/>
      <c r="E38" s="1534"/>
      <c r="F38" s="1529"/>
      <c r="G38" s="1534"/>
      <c r="H38" s="1534"/>
      <c r="I38" s="1534"/>
      <c r="J38" s="1534"/>
      <c r="K38" s="1535"/>
      <c r="L38" s="1534"/>
      <c r="M38" s="1535"/>
      <c r="N38" s="1534"/>
      <c r="O38" s="1534"/>
    </row>
    <row r="39" spans="2:15" ht="15" customHeight="1">
      <c r="F39" s="1426"/>
      <c r="K39" s="1490"/>
      <c r="M39" s="1490"/>
    </row>
    <row r="40" spans="2:15" ht="14.25">
      <c r="F40" s="1426"/>
      <c r="K40" s="1490"/>
      <c r="M40" s="1490"/>
    </row>
    <row r="41" spans="2:15" ht="14.25">
      <c r="B41" s="1426"/>
      <c r="F41" s="1426"/>
      <c r="K41" s="1490"/>
      <c r="M41" s="1490"/>
    </row>
    <row r="42" spans="2:15" ht="14.25">
      <c r="D42" s="1384"/>
      <c r="F42" s="1426"/>
      <c r="K42" s="1490"/>
      <c r="M42" s="1490"/>
    </row>
    <row r="43" spans="2:15" ht="14.25">
      <c r="F43" s="1426"/>
      <c r="K43" s="1490"/>
      <c r="M43" s="1490"/>
    </row>
    <row r="44" spans="2:15" ht="14.25">
      <c r="F44" s="1426"/>
      <c r="K44" s="1490"/>
      <c r="M44" s="1490"/>
    </row>
    <row r="45" spans="2:15" ht="14.25">
      <c r="F45" s="1426"/>
      <c r="K45" s="1490"/>
      <c r="M45" s="1490"/>
    </row>
    <row r="46" spans="2:15" ht="14.25">
      <c r="F46" s="1426"/>
      <c r="K46" s="1490"/>
      <c r="M46" s="1490"/>
    </row>
    <row r="47" spans="2:15" ht="14.25">
      <c r="F47" s="1426"/>
      <c r="K47" s="1490"/>
      <c r="M47" s="1490"/>
    </row>
    <row r="48" spans="2:15" ht="14.25">
      <c r="F48" s="1426"/>
      <c r="K48" s="1490"/>
      <c r="M48" s="1490"/>
    </row>
    <row r="49" spans="2:13" ht="14.25">
      <c r="F49" s="1426"/>
      <c r="K49" s="1490"/>
      <c r="M49" s="1490"/>
    </row>
    <row r="50" spans="2:13" ht="14.25">
      <c r="F50" s="1426"/>
      <c r="K50" s="1490"/>
      <c r="M50" s="1490"/>
    </row>
    <row r="51" spans="2:13" ht="14.25">
      <c r="F51" s="1426"/>
      <c r="K51" s="1490"/>
      <c r="M51" s="1490"/>
    </row>
    <row r="52" spans="2:13" thickBot="1">
      <c r="F52" s="1426"/>
      <c r="K52" s="1490"/>
      <c r="M52" s="1490"/>
    </row>
    <row r="53" spans="2:13">
      <c r="B53" s="1493" t="s">
        <v>141</v>
      </c>
      <c r="C53" s="1494" t="s">
        <v>142</v>
      </c>
      <c r="D53" s="1546" t="s">
        <v>1435</v>
      </c>
      <c r="E53" s="1404"/>
      <c r="F53" s="1547"/>
      <c r="K53" s="1490"/>
      <c r="M53" s="1490"/>
    </row>
    <row r="54" spans="2:13" ht="14.25">
      <c r="B54" s="1496" t="s">
        <v>143</v>
      </c>
      <c r="C54" s="1497">
        <f>C55+C59+0.015</f>
        <v>0.20500000000000002</v>
      </c>
      <c r="D54" s="1323" t="s">
        <v>1487</v>
      </c>
      <c r="F54" s="1426"/>
      <c r="K54" s="1490"/>
      <c r="M54" s="1490"/>
    </row>
    <row r="55" spans="2:13">
      <c r="B55" s="1499" t="s">
        <v>144</v>
      </c>
      <c r="C55" s="1500">
        <v>0.01</v>
      </c>
      <c r="F55" s="1426"/>
      <c r="K55" s="1490"/>
      <c r="M55" s="1490"/>
    </row>
    <row r="56" spans="2:13" ht="14.25">
      <c r="B56" s="1503" t="s">
        <v>7</v>
      </c>
      <c r="C56" s="1504">
        <v>1</v>
      </c>
      <c r="F56" s="1426"/>
      <c r="K56" s="1490"/>
      <c r="M56" s="1490"/>
    </row>
    <row r="57" spans="2:13" ht="14.25">
      <c r="B57" s="1503" t="s">
        <v>146</v>
      </c>
      <c r="C57" s="1504">
        <v>0.15</v>
      </c>
      <c r="F57" s="1426"/>
      <c r="K57" s="1490"/>
      <c r="M57" s="1490"/>
    </row>
    <row r="58" spans="2:13" ht="14.25">
      <c r="B58" s="1503" t="s">
        <v>565</v>
      </c>
      <c r="C58" s="1504">
        <v>0</v>
      </c>
      <c r="F58" s="1426"/>
      <c r="K58" s="1490"/>
      <c r="M58" s="1490"/>
    </row>
    <row r="59" spans="2:13" ht="14.25">
      <c r="B59" s="1496" t="s">
        <v>566</v>
      </c>
      <c r="C59" s="1510">
        <v>0.18</v>
      </c>
      <c r="F59" s="1426"/>
      <c r="K59" s="1490"/>
      <c r="M59" s="1490"/>
    </row>
    <row r="60" spans="2:13" ht="14.25">
      <c r="B60" s="1513" t="s">
        <v>148</v>
      </c>
      <c r="C60" s="1504">
        <v>0.2</v>
      </c>
      <c r="F60" s="1426"/>
      <c r="K60" s="1490"/>
      <c r="M60" s="1490"/>
    </row>
    <row r="61" spans="2:13" ht="14.25">
      <c r="B61" s="1513" t="s">
        <v>150</v>
      </c>
      <c r="C61" s="1504">
        <v>0</v>
      </c>
      <c r="F61" s="1426"/>
      <c r="K61" s="1490"/>
      <c r="M61" s="1490"/>
    </row>
    <row r="62" spans="2:13" ht="14.25">
      <c r="B62" s="1513" t="s">
        <v>152</v>
      </c>
      <c r="C62" s="1504">
        <v>0.6</v>
      </c>
      <c r="F62" s="1426"/>
      <c r="K62" s="1490"/>
      <c r="M62" s="1490"/>
    </row>
    <row r="63" spans="2:13" ht="14.25">
      <c r="B63" s="1513" t="s">
        <v>154</v>
      </c>
      <c r="C63" s="1504">
        <v>0.4</v>
      </c>
      <c r="F63" s="1426"/>
      <c r="K63" s="1490"/>
      <c r="M63" s="1490"/>
    </row>
    <row r="64" spans="2:13" ht="14.25">
      <c r="B64" s="1518"/>
      <c r="C64" s="1519"/>
      <c r="F64" s="1426"/>
      <c r="K64" s="1490"/>
      <c r="M64" s="1490"/>
    </row>
    <row r="65" spans="2:13" thickBot="1">
      <c r="B65" s="1521" t="s">
        <v>140</v>
      </c>
      <c r="C65" s="1522">
        <f>(C54*C62)+(C61*C63*(1-C60))</f>
        <v>0.123</v>
      </c>
      <c r="F65" s="1426"/>
      <c r="K65" s="1490"/>
      <c r="M65" s="1490"/>
    </row>
    <row r="66" spans="2:13" ht="14.25">
      <c r="F66" s="1426"/>
      <c r="K66" s="1490"/>
      <c r="M66" s="1490"/>
    </row>
    <row r="67" spans="2:13" ht="14.25">
      <c r="F67" s="1426"/>
      <c r="K67" s="1490"/>
      <c r="M67" s="1490"/>
    </row>
    <row r="68" spans="2:13" ht="14.25">
      <c r="F68" s="1426"/>
      <c r="K68" s="1490"/>
      <c r="M68" s="1490"/>
    </row>
    <row r="69" spans="2:13" ht="14.25">
      <c r="F69" s="1426"/>
      <c r="K69" s="1490"/>
      <c r="M69" s="1490"/>
    </row>
    <row r="70" spans="2:13" ht="14.25">
      <c r="F70" s="1426"/>
      <c r="K70" s="1490"/>
      <c r="M70" s="1490"/>
    </row>
    <row r="71" spans="2:13" ht="14.25">
      <c r="F71" s="1426"/>
      <c r="K71" s="1490"/>
      <c r="M71" s="1490"/>
    </row>
    <row r="72" spans="2:13" ht="14.25">
      <c r="F72" s="1426"/>
      <c r="K72" s="1490"/>
      <c r="M72" s="1490"/>
    </row>
    <row r="73" spans="2:13" ht="14.25">
      <c r="F73" s="1426"/>
      <c r="K73" s="1490"/>
      <c r="M73" s="1490"/>
    </row>
    <row r="74" spans="2:13" ht="14.25">
      <c r="F74" s="1426"/>
      <c r="K74" s="1490"/>
      <c r="M74" s="1490"/>
    </row>
    <row r="75" spans="2:13" ht="14.25">
      <c r="F75" s="1426"/>
      <c r="K75" s="1490"/>
      <c r="M75" s="1490"/>
    </row>
    <row r="76" spans="2:13" ht="14.25">
      <c r="F76" s="1426"/>
      <c r="K76" s="1490"/>
      <c r="M76" s="1490"/>
    </row>
    <row r="77" spans="2:13" ht="14.25">
      <c r="F77" s="1426"/>
      <c r="K77" s="1490"/>
      <c r="M77" s="1490"/>
    </row>
    <row r="78" spans="2:13" ht="14.25">
      <c r="F78" s="1426"/>
      <c r="K78" s="1490"/>
      <c r="M78" s="1490"/>
    </row>
    <row r="79" spans="2:13" ht="14.25">
      <c r="F79" s="1426"/>
      <c r="K79" s="1490"/>
      <c r="M79" s="1490"/>
    </row>
    <row r="80" spans="2:13" ht="14.25">
      <c r="F80" s="1426"/>
      <c r="K80" s="1490"/>
      <c r="M80" s="1490"/>
    </row>
    <row r="81" spans="6:13" ht="14.25">
      <c r="F81" s="1426"/>
      <c r="K81" s="1490"/>
      <c r="M81" s="1490"/>
    </row>
    <row r="82" spans="6:13" ht="14.25">
      <c r="F82" s="1426"/>
      <c r="K82" s="1490"/>
      <c r="M82" s="1490"/>
    </row>
    <row r="83" spans="6:13" ht="14.25">
      <c r="F83" s="1426"/>
      <c r="K83" s="1490"/>
      <c r="M83" s="1490"/>
    </row>
    <row r="84" spans="6:13" ht="14.25">
      <c r="F84" s="1426"/>
      <c r="K84" s="1490"/>
      <c r="M84" s="1490"/>
    </row>
    <row r="85" spans="6:13" ht="14.25">
      <c r="F85" s="1426"/>
      <c r="K85" s="1490"/>
      <c r="M85" s="1490"/>
    </row>
    <row r="86" spans="6:13" ht="14.25">
      <c r="F86" s="1426"/>
      <c r="K86" s="1490"/>
      <c r="M86" s="1490"/>
    </row>
    <row r="87" spans="6:13" ht="14.25">
      <c r="F87" s="1426"/>
      <c r="K87" s="1490"/>
      <c r="M87" s="1490"/>
    </row>
    <row r="88" spans="6:13" ht="14.25">
      <c r="F88" s="1426"/>
      <c r="K88" s="1490"/>
      <c r="M88" s="1490"/>
    </row>
    <row r="89" spans="6:13" ht="14.25">
      <c r="F89" s="1426"/>
      <c r="K89" s="1490"/>
      <c r="M89" s="1490"/>
    </row>
    <row r="90" spans="6:13" ht="14.25">
      <c r="F90" s="1426"/>
      <c r="K90" s="1490"/>
      <c r="M90" s="1490"/>
    </row>
    <row r="91" spans="6:13" ht="14.25">
      <c r="F91" s="1426"/>
      <c r="K91" s="1490"/>
      <c r="M91" s="1490"/>
    </row>
    <row r="92" spans="6:13" ht="14.25">
      <c r="F92" s="1426"/>
      <c r="K92" s="1490"/>
      <c r="M92" s="1490"/>
    </row>
    <row r="93" spans="6:13" ht="14.25">
      <c r="F93" s="1426"/>
      <c r="K93" s="1490"/>
      <c r="M93" s="1490"/>
    </row>
    <row r="94" spans="6:13" ht="14.25">
      <c r="F94" s="1426"/>
      <c r="K94" s="1490"/>
      <c r="M94" s="1490"/>
    </row>
    <row r="95" spans="6:13" ht="14.25">
      <c r="F95" s="1426"/>
      <c r="K95" s="1490"/>
      <c r="M95" s="1490"/>
    </row>
    <row r="96" spans="6:13" ht="14.25">
      <c r="F96" s="1426"/>
      <c r="K96" s="1490"/>
      <c r="M96" s="1490"/>
    </row>
    <row r="97" spans="6:13" ht="14.25">
      <c r="F97" s="1426"/>
      <c r="K97" s="1490"/>
      <c r="M97" s="1490"/>
    </row>
    <row r="98" spans="6:13" ht="14.25">
      <c r="F98" s="1426"/>
      <c r="K98" s="1490"/>
      <c r="M98" s="1490"/>
    </row>
    <row r="99" spans="6:13" ht="14.25">
      <c r="F99" s="1426"/>
      <c r="K99" s="1490"/>
      <c r="M99" s="1490"/>
    </row>
    <row r="100" spans="6:13" ht="14.25">
      <c r="F100" s="1426"/>
      <c r="K100" s="1490"/>
      <c r="M100" s="1490"/>
    </row>
    <row r="101" spans="6:13" ht="14.25">
      <c r="F101" s="1426"/>
      <c r="K101" s="1490"/>
      <c r="M101" s="1490"/>
    </row>
    <row r="102" spans="6:13" ht="14.25">
      <c r="F102" s="1426"/>
      <c r="K102" s="1490"/>
      <c r="M102" s="1490"/>
    </row>
    <row r="103" spans="6:13" ht="14.25">
      <c r="F103" s="1426"/>
      <c r="K103" s="1490"/>
      <c r="M103" s="1490"/>
    </row>
    <row r="104" spans="6:13" ht="14.25">
      <c r="F104" s="1426"/>
      <c r="K104" s="1490"/>
      <c r="M104" s="1490"/>
    </row>
    <row r="105" spans="6:13" ht="14.25">
      <c r="F105" s="1426"/>
      <c r="K105" s="1490"/>
      <c r="M105" s="1490"/>
    </row>
    <row r="106" spans="6:13" ht="14.25">
      <c r="F106" s="1426"/>
      <c r="K106" s="1490"/>
      <c r="M106" s="1490"/>
    </row>
    <row r="107" spans="6:13" ht="14.25">
      <c r="F107" s="1426"/>
      <c r="K107" s="1490"/>
      <c r="M107" s="1490"/>
    </row>
    <row r="108" spans="6:13" ht="14.25">
      <c r="F108" s="1426"/>
      <c r="K108" s="1490"/>
      <c r="M108" s="1490"/>
    </row>
    <row r="109" spans="6:13" ht="14.25">
      <c r="F109" s="1426"/>
      <c r="K109" s="1490"/>
      <c r="M109" s="1490"/>
    </row>
    <row r="110" spans="6:13" ht="14.25">
      <c r="F110" s="1426"/>
      <c r="K110" s="1490"/>
      <c r="M110" s="1490"/>
    </row>
    <row r="111" spans="6:13" ht="14.25">
      <c r="F111" s="1426"/>
      <c r="K111" s="1490"/>
      <c r="M111" s="1490"/>
    </row>
    <row r="112" spans="6:13" ht="14.25">
      <c r="F112" s="1426"/>
      <c r="K112" s="1490"/>
      <c r="M112" s="1490"/>
    </row>
    <row r="113" spans="6:13" ht="14.25">
      <c r="F113" s="1426"/>
      <c r="K113" s="1490"/>
      <c r="M113" s="1490"/>
    </row>
    <row r="114" spans="6:13" ht="14.25">
      <c r="F114" s="1426"/>
      <c r="K114" s="1490"/>
      <c r="M114" s="1490"/>
    </row>
    <row r="115" spans="6:13" ht="14.25">
      <c r="F115" s="1426"/>
      <c r="K115" s="1490"/>
      <c r="M115" s="1490"/>
    </row>
    <row r="116" spans="6:13" ht="14.25">
      <c r="F116" s="1426"/>
      <c r="K116" s="1490"/>
      <c r="M116" s="1490"/>
    </row>
    <row r="117" spans="6:13" ht="14.25">
      <c r="F117" s="1426"/>
      <c r="K117" s="1490"/>
      <c r="M117" s="1490"/>
    </row>
    <row r="118" spans="6:13" ht="14.25">
      <c r="F118" s="1426"/>
      <c r="K118" s="1490"/>
      <c r="M118" s="1490"/>
    </row>
    <row r="119" spans="6:13" ht="14.25">
      <c r="F119" s="1426"/>
      <c r="K119" s="1490"/>
      <c r="M119" s="1490"/>
    </row>
    <row r="120" spans="6:13" ht="14.25">
      <c r="F120" s="1426"/>
      <c r="K120" s="1490"/>
      <c r="M120" s="1490"/>
    </row>
    <row r="121" spans="6:13" ht="14.25">
      <c r="F121" s="1426"/>
      <c r="K121" s="1490"/>
      <c r="M121" s="1490"/>
    </row>
    <row r="122" spans="6:13" ht="14.25">
      <c r="F122" s="1426"/>
      <c r="K122" s="1490"/>
      <c r="M122" s="1490"/>
    </row>
    <row r="123" spans="6:13" ht="14.25">
      <c r="F123" s="1426"/>
      <c r="K123" s="1490"/>
      <c r="M123" s="1490"/>
    </row>
    <row r="124" spans="6:13" ht="14.25">
      <c r="F124" s="1426"/>
      <c r="K124" s="1490"/>
      <c r="M124" s="1490"/>
    </row>
    <row r="125" spans="6:13" ht="14.25">
      <c r="F125" s="1426"/>
      <c r="K125" s="1490"/>
      <c r="M125" s="1490"/>
    </row>
    <row r="126" spans="6:13" ht="14.25">
      <c r="F126" s="1426"/>
      <c r="K126" s="1490"/>
      <c r="M126" s="1490"/>
    </row>
    <row r="127" spans="6:13" ht="14.25">
      <c r="F127" s="1426"/>
      <c r="K127" s="1490"/>
      <c r="M127" s="1490"/>
    </row>
    <row r="128" spans="6:13" ht="14.25">
      <c r="F128" s="1426"/>
      <c r="K128" s="1490"/>
      <c r="M128" s="1490"/>
    </row>
    <row r="129" spans="6:13" ht="14.25">
      <c r="F129" s="1426"/>
      <c r="K129" s="1490"/>
      <c r="M129" s="1490"/>
    </row>
    <row r="130" spans="6:13" ht="14.25">
      <c r="F130" s="1426"/>
      <c r="K130" s="1490"/>
      <c r="M130" s="1490"/>
    </row>
    <row r="131" spans="6:13" ht="14.25">
      <c r="F131" s="1426"/>
      <c r="K131" s="1490"/>
      <c r="M131" s="1490"/>
    </row>
    <row r="132" spans="6:13" ht="14.25">
      <c r="F132" s="1426"/>
      <c r="K132" s="1490"/>
      <c r="M132" s="1490"/>
    </row>
    <row r="133" spans="6:13" ht="14.25">
      <c r="F133" s="1426"/>
      <c r="K133" s="1490"/>
      <c r="M133" s="1490"/>
    </row>
    <row r="134" spans="6:13" ht="14.25">
      <c r="F134" s="1426"/>
      <c r="K134" s="1490"/>
      <c r="M134" s="1490"/>
    </row>
    <row r="135" spans="6:13" ht="14.25">
      <c r="F135" s="1426"/>
      <c r="K135" s="1490"/>
      <c r="M135" s="1490"/>
    </row>
    <row r="136" spans="6:13" ht="14.25">
      <c r="F136" s="1426"/>
      <c r="K136" s="1490"/>
      <c r="M136" s="1490"/>
    </row>
    <row r="137" spans="6:13" ht="14.25">
      <c r="F137" s="1426"/>
      <c r="K137" s="1490"/>
      <c r="M137" s="1490"/>
    </row>
    <row r="138" spans="6:13" ht="14.25">
      <c r="F138" s="1426"/>
      <c r="K138" s="1490"/>
      <c r="M138" s="1490"/>
    </row>
    <row r="139" spans="6:13" ht="14.25">
      <c r="F139" s="1426"/>
      <c r="K139" s="1490"/>
      <c r="M139" s="1490"/>
    </row>
    <row r="140" spans="6:13" ht="14.25">
      <c r="F140" s="1426"/>
      <c r="K140" s="1490"/>
      <c r="M140" s="1490"/>
    </row>
    <row r="141" spans="6:13" ht="14.25">
      <c r="F141" s="1426"/>
      <c r="K141" s="1490"/>
      <c r="M141" s="1490"/>
    </row>
    <row r="142" spans="6:13" ht="14.25">
      <c r="F142" s="1426"/>
      <c r="K142" s="1490"/>
      <c r="M142" s="1490"/>
    </row>
    <row r="143" spans="6:13" ht="14.25">
      <c r="F143" s="1426"/>
      <c r="K143" s="1490"/>
      <c r="M143" s="1490"/>
    </row>
    <row r="144" spans="6:13" ht="14.25">
      <c r="F144" s="1426"/>
      <c r="K144" s="1490"/>
      <c r="M144" s="1490"/>
    </row>
    <row r="145" spans="6:13" ht="14.25">
      <c r="F145" s="1426"/>
      <c r="K145" s="1490"/>
      <c r="M145" s="1490"/>
    </row>
    <row r="146" spans="6:13" ht="14.25">
      <c r="F146" s="1426"/>
      <c r="K146" s="1490"/>
      <c r="M146" s="1490"/>
    </row>
    <row r="147" spans="6:13" ht="14.25">
      <c r="F147" s="1426"/>
      <c r="K147" s="1490"/>
      <c r="M147" s="1490"/>
    </row>
    <row r="148" spans="6:13" ht="14.25">
      <c r="F148" s="1426"/>
      <c r="K148" s="1490"/>
      <c r="M148" s="1490"/>
    </row>
    <row r="149" spans="6:13" ht="14.25">
      <c r="F149" s="1426"/>
      <c r="K149" s="1490"/>
      <c r="M149" s="1490"/>
    </row>
    <row r="150" spans="6:13" ht="14.25">
      <c r="F150" s="1426"/>
      <c r="K150" s="1490"/>
      <c r="M150" s="1490"/>
    </row>
    <row r="151" spans="6:13" ht="14.25">
      <c r="F151" s="1426"/>
      <c r="K151" s="1490"/>
      <c r="M151" s="1490"/>
    </row>
    <row r="152" spans="6:13" ht="14.25">
      <c r="F152" s="1426"/>
      <c r="K152" s="1490"/>
      <c r="M152" s="1490"/>
    </row>
    <row r="153" spans="6:13" ht="14.25">
      <c r="F153" s="1426"/>
      <c r="K153" s="1490"/>
      <c r="M153" s="1490"/>
    </row>
    <row r="154" spans="6:13" ht="14.25">
      <c r="F154" s="1426"/>
      <c r="K154" s="1490"/>
      <c r="M154" s="1490"/>
    </row>
    <row r="155" spans="6:13" ht="14.25">
      <c r="F155" s="1426"/>
      <c r="K155" s="1490"/>
      <c r="M155" s="1490"/>
    </row>
    <row r="156" spans="6:13" ht="14.25">
      <c r="F156" s="1426"/>
      <c r="K156" s="1490"/>
      <c r="M156" s="1490"/>
    </row>
    <row r="157" spans="6:13" ht="14.25">
      <c r="F157" s="1426"/>
      <c r="K157" s="1490"/>
      <c r="M157" s="1490"/>
    </row>
    <row r="158" spans="6:13" ht="14.25">
      <c r="F158" s="1426"/>
      <c r="K158" s="1490"/>
      <c r="M158" s="1490"/>
    </row>
    <row r="159" spans="6:13" ht="14.25">
      <c r="F159" s="1426"/>
      <c r="K159" s="1490"/>
      <c r="M159" s="1490"/>
    </row>
    <row r="160" spans="6:13" ht="14.25">
      <c r="F160" s="1426"/>
      <c r="K160" s="1490"/>
      <c r="M160" s="1490"/>
    </row>
    <row r="161" spans="6:13" ht="14.25">
      <c r="F161" s="1426"/>
      <c r="K161" s="1490"/>
      <c r="M161" s="1490"/>
    </row>
    <row r="162" spans="6:13" ht="14.25">
      <c r="F162" s="1426"/>
      <c r="K162" s="1490"/>
      <c r="M162" s="1490"/>
    </row>
    <row r="163" spans="6:13" ht="14.25">
      <c r="F163" s="1426"/>
      <c r="K163" s="1490"/>
      <c r="M163" s="1490"/>
    </row>
    <row r="164" spans="6:13" ht="14.25">
      <c r="F164" s="1426"/>
      <c r="K164" s="1490"/>
      <c r="M164" s="1490"/>
    </row>
    <row r="165" spans="6:13" ht="14.25">
      <c r="F165" s="1426"/>
      <c r="K165" s="1490"/>
      <c r="M165" s="1490"/>
    </row>
    <row r="166" spans="6:13" ht="14.25">
      <c r="F166" s="1426"/>
      <c r="K166" s="1490"/>
      <c r="M166" s="1490"/>
    </row>
    <row r="167" spans="6:13" ht="14.25">
      <c r="F167" s="1426"/>
      <c r="K167" s="1490"/>
      <c r="M167" s="1490"/>
    </row>
    <row r="168" spans="6:13" ht="14.25">
      <c r="F168" s="1426"/>
      <c r="K168" s="1490"/>
      <c r="M168" s="1490"/>
    </row>
    <row r="169" spans="6:13" ht="14.25">
      <c r="F169" s="1426"/>
      <c r="K169" s="1490"/>
      <c r="M169" s="1490"/>
    </row>
    <row r="170" spans="6:13" ht="14.25">
      <c r="F170" s="1426"/>
      <c r="K170" s="1490"/>
      <c r="M170" s="1490"/>
    </row>
    <row r="171" spans="6:13" ht="14.25">
      <c r="F171" s="1426"/>
      <c r="K171" s="1490"/>
      <c r="M171" s="1490"/>
    </row>
    <row r="172" spans="6:13" ht="14.25">
      <c r="F172" s="1426"/>
      <c r="K172" s="1490"/>
      <c r="M172" s="1490"/>
    </row>
    <row r="173" spans="6:13" ht="14.25">
      <c r="F173" s="1426"/>
      <c r="K173" s="1490"/>
      <c r="M173" s="1490"/>
    </row>
    <row r="174" spans="6:13" ht="14.25">
      <c r="F174" s="1426"/>
      <c r="K174" s="1490"/>
      <c r="M174" s="1490"/>
    </row>
    <row r="175" spans="6:13" ht="14.25">
      <c r="F175" s="1426"/>
      <c r="K175" s="1490"/>
      <c r="M175" s="1490"/>
    </row>
    <row r="176" spans="6:13" ht="14.25">
      <c r="F176" s="1426"/>
      <c r="K176" s="1490"/>
      <c r="M176" s="1490"/>
    </row>
    <row r="177" spans="6:13" ht="14.25">
      <c r="F177" s="1426"/>
      <c r="K177" s="1490"/>
      <c r="M177" s="1490"/>
    </row>
    <row r="178" spans="6:13" ht="14.25">
      <c r="F178" s="1426"/>
      <c r="K178" s="1490"/>
      <c r="M178" s="1490"/>
    </row>
    <row r="179" spans="6:13" ht="14.25">
      <c r="F179" s="1426"/>
      <c r="K179" s="1490"/>
      <c r="M179" s="1490"/>
    </row>
    <row r="180" spans="6:13" ht="14.25">
      <c r="F180" s="1426"/>
      <c r="K180" s="1490"/>
      <c r="M180" s="1490"/>
    </row>
    <row r="181" spans="6:13" ht="14.25">
      <c r="F181" s="1426"/>
      <c r="K181" s="1490"/>
      <c r="M181" s="1490"/>
    </row>
    <row r="182" spans="6:13" ht="14.25">
      <c r="F182" s="1426"/>
      <c r="K182" s="1490"/>
      <c r="M182" s="1490"/>
    </row>
    <row r="183" spans="6:13" ht="14.25">
      <c r="F183" s="1426"/>
      <c r="K183" s="1490"/>
      <c r="M183" s="1490"/>
    </row>
    <row r="184" spans="6:13" ht="14.25">
      <c r="F184" s="1426"/>
      <c r="K184" s="1490"/>
      <c r="M184" s="1490"/>
    </row>
    <row r="185" spans="6:13" ht="14.25">
      <c r="F185" s="1426"/>
      <c r="K185" s="1490"/>
      <c r="M185" s="1490"/>
    </row>
    <row r="186" spans="6:13" ht="14.25">
      <c r="F186" s="1426"/>
      <c r="K186" s="1490"/>
      <c r="M186" s="1490"/>
    </row>
    <row r="187" spans="6:13" ht="14.25">
      <c r="F187" s="1426"/>
      <c r="K187" s="1490"/>
      <c r="M187" s="1490"/>
    </row>
    <row r="188" spans="6:13" ht="14.25">
      <c r="F188" s="1426"/>
      <c r="K188" s="1490"/>
      <c r="M188" s="1490"/>
    </row>
    <row r="189" spans="6:13" ht="14.25">
      <c r="F189" s="1426"/>
      <c r="K189" s="1490"/>
      <c r="M189" s="1490"/>
    </row>
    <row r="190" spans="6:13" ht="14.25">
      <c r="F190" s="1426"/>
      <c r="K190" s="1490"/>
      <c r="M190" s="1490"/>
    </row>
    <row r="191" spans="6:13" ht="14.25">
      <c r="F191" s="1426"/>
      <c r="K191" s="1490"/>
      <c r="M191" s="1490"/>
    </row>
    <row r="192" spans="6:13" ht="14.25">
      <c r="F192" s="1426"/>
      <c r="K192" s="1490"/>
      <c r="M192" s="1490"/>
    </row>
    <row r="193" spans="6:13" ht="14.25">
      <c r="F193" s="1426"/>
      <c r="K193" s="1490"/>
      <c r="M193" s="1490"/>
    </row>
    <row r="194" spans="6:13" ht="14.25">
      <c r="F194" s="1426"/>
      <c r="K194" s="1490"/>
      <c r="M194" s="1490"/>
    </row>
    <row r="195" spans="6:13" ht="14.25">
      <c r="F195" s="1426"/>
      <c r="K195" s="1490"/>
      <c r="M195" s="1490"/>
    </row>
    <row r="196" spans="6:13" ht="14.25">
      <c r="F196" s="1426"/>
      <c r="K196" s="1490"/>
      <c r="M196" s="1490"/>
    </row>
    <row r="197" spans="6:13" ht="14.25">
      <c r="F197" s="1426"/>
      <c r="K197" s="1490"/>
      <c r="M197" s="1490"/>
    </row>
    <row r="198" spans="6:13" ht="14.25">
      <c r="F198" s="1426"/>
      <c r="K198" s="1490"/>
      <c r="M198" s="1490"/>
    </row>
    <row r="199" spans="6:13" ht="14.25">
      <c r="F199" s="1426"/>
      <c r="K199" s="1490"/>
      <c r="M199" s="1490"/>
    </row>
    <row r="200" spans="6:13" ht="14.25">
      <c r="F200" s="1426"/>
      <c r="K200" s="1490"/>
      <c r="M200" s="1490"/>
    </row>
    <row r="201" spans="6:13" ht="14.25">
      <c r="F201" s="1426"/>
      <c r="K201" s="1490"/>
      <c r="M201" s="1490"/>
    </row>
    <row r="202" spans="6:13" ht="14.25">
      <c r="F202" s="1426"/>
      <c r="K202" s="1490"/>
      <c r="M202" s="1490"/>
    </row>
    <row r="203" spans="6:13" ht="14.25">
      <c r="F203" s="1426"/>
      <c r="K203" s="1490"/>
      <c r="M203" s="1490"/>
    </row>
    <row r="204" spans="6:13" ht="14.25">
      <c r="F204" s="1426"/>
      <c r="K204" s="1490"/>
      <c r="M204" s="1490"/>
    </row>
    <row r="205" spans="6:13" ht="14.25">
      <c r="F205" s="1426"/>
      <c r="K205" s="1490"/>
      <c r="M205" s="1490"/>
    </row>
    <row r="206" spans="6:13" ht="14.25">
      <c r="F206" s="1426"/>
      <c r="K206" s="1490"/>
      <c r="M206" s="1490"/>
    </row>
    <row r="207" spans="6:13" ht="14.25">
      <c r="F207" s="1426"/>
      <c r="K207" s="1490"/>
      <c r="M207" s="1490"/>
    </row>
    <row r="208" spans="6:13" ht="14.25">
      <c r="F208" s="1426"/>
      <c r="K208" s="1490"/>
      <c r="M208" s="1490"/>
    </row>
    <row r="209" spans="6:13" ht="14.25">
      <c r="F209" s="1426"/>
      <c r="K209" s="1490"/>
      <c r="M209" s="1490"/>
    </row>
    <row r="210" spans="6:13" ht="14.25">
      <c r="F210" s="1426"/>
      <c r="K210" s="1490"/>
      <c r="M210" s="1490"/>
    </row>
    <row r="211" spans="6:13" ht="14.25">
      <c r="F211" s="1426"/>
      <c r="K211" s="1490"/>
      <c r="M211" s="1490"/>
    </row>
    <row r="212" spans="6:13" ht="14.25">
      <c r="F212" s="1426"/>
      <c r="K212" s="1490"/>
      <c r="M212" s="1490"/>
    </row>
    <row r="213" spans="6:13" ht="14.25">
      <c r="F213" s="1426"/>
      <c r="K213" s="1490"/>
      <c r="M213" s="1490"/>
    </row>
    <row r="214" spans="6:13" ht="14.25">
      <c r="F214" s="1426"/>
      <c r="K214" s="1490"/>
      <c r="M214" s="1490"/>
    </row>
    <row r="215" spans="6:13" ht="14.25">
      <c r="F215" s="1426"/>
      <c r="K215" s="1490"/>
      <c r="M215" s="1490"/>
    </row>
    <row r="216" spans="6:13" ht="14.25">
      <c r="F216" s="1426"/>
      <c r="K216" s="1490"/>
      <c r="M216" s="1490"/>
    </row>
    <row r="217" spans="6:13" ht="14.25">
      <c r="F217" s="1426"/>
      <c r="K217" s="1490"/>
      <c r="M217" s="1490"/>
    </row>
    <row r="218" spans="6:13" ht="14.25">
      <c r="F218" s="1426"/>
      <c r="K218" s="1490"/>
      <c r="M218" s="1490"/>
    </row>
    <row r="219" spans="6:13" ht="14.25">
      <c r="F219" s="1426"/>
      <c r="K219" s="1490"/>
      <c r="M219" s="1490"/>
    </row>
    <row r="220" spans="6:13" ht="14.25">
      <c r="F220" s="1426"/>
      <c r="K220" s="1490"/>
      <c r="M220" s="1490"/>
    </row>
    <row r="221" spans="6:13" ht="14.25">
      <c r="F221" s="1426"/>
      <c r="K221" s="1490"/>
      <c r="M221" s="1490"/>
    </row>
    <row r="222" spans="6:13" ht="14.25">
      <c r="F222" s="1426"/>
      <c r="K222" s="1490"/>
      <c r="M222" s="1490"/>
    </row>
    <row r="223" spans="6:13" ht="14.25">
      <c r="F223" s="1426"/>
      <c r="K223" s="1490"/>
      <c r="M223" s="1490"/>
    </row>
    <row r="224" spans="6:13" ht="14.25">
      <c r="F224" s="1426"/>
      <c r="K224" s="1490"/>
      <c r="M224" s="1490"/>
    </row>
    <row r="225" spans="6:13" ht="14.25">
      <c r="F225" s="1426"/>
      <c r="K225" s="1490"/>
      <c r="M225" s="1490"/>
    </row>
    <row r="226" spans="6:13" ht="14.25">
      <c r="F226" s="1426"/>
      <c r="K226" s="1490"/>
      <c r="M226" s="1490"/>
    </row>
    <row r="227" spans="6:13" ht="14.25">
      <c r="F227" s="1426"/>
      <c r="K227" s="1490"/>
      <c r="M227" s="1490"/>
    </row>
    <row r="228" spans="6:13" ht="14.25">
      <c r="F228" s="1426"/>
      <c r="K228" s="1490"/>
      <c r="M228" s="1490"/>
    </row>
    <row r="229" spans="6:13" ht="14.25">
      <c r="F229" s="1426"/>
      <c r="K229" s="1490"/>
      <c r="M229" s="1490"/>
    </row>
    <row r="230" spans="6:13" ht="14.25">
      <c r="F230" s="1426"/>
      <c r="K230" s="1490"/>
      <c r="M230" s="1490"/>
    </row>
    <row r="231" spans="6:13" ht="14.25">
      <c r="F231" s="1426"/>
      <c r="K231" s="1490"/>
      <c r="M231" s="1490"/>
    </row>
    <row r="232" spans="6:13" ht="14.25">
      <c r="F232" s="1426"/>
      <c r="K232" s="1490"/>
      <c r="M232" s="1490"/>
    </row>
    <row r="233" spans="6:13" ht="14.25">
      <c r="F233" s="1426"/>
      <c r="K233" s="1490"/>
      <c r="M233" s="1490"/>
    </row>
    <row r="234" spans="6:13" ht="14.25">
      <c r="F234" s="1426"/>
      <c r="K234" s="1490"/>
      <c r="M234" s="1490"/>
    </row>
    <row r="235" spans="6:13" ht="14.25">
      <c r="F235" s="1426"/>
      <c r="K235" s="1490"/>
      <c r="M235" s="1490"/>
    </row>
    <row r="236" spans="6:13" ht="14.25">
      <c r="F236" s="1426"/>
      <c r="K236" s="1490"/>
      <c r="M236" s="1490"/>
    </row>
    <row r="237" spans="6:13" ht="14.25">
      <c r="F237" s="1426"/>
      <c r="K237" s="1490"/>
      <c r="M237" s="1490"/>
    </row>
    <row r="238" spans="6:13" ht="14.25">
      <c r="F238" s="1426"/>
      <c r="K238" s="1490"/>
      <c r="M238" s="1490"/>
    </row>
    <row r="239" spans="6:13" ht="14.25">
      <c r="F239" s="1426"/>
      <c r="K239" s="1490"/>
      <c r="M239" s="1490"/>
    </row>
    <row r="240" spans="6:13" ht="14.25">
      <c r="F240" s="1426"/>
      <c r="K240" s="1490"/>
      <c r="M240" s="1490"/>
    </row>
    <row r="241" spans="6:13" ht="14.25">
      <c r="F241" s="1426"/>
      <c r="K241" s="1490"/>
      <c r="M241" s="1490"/>
    </row>
    <row r="242" spans="6:13" ht="14.25">
      <c r="F242" s="1426"/>
      <c r="K242" s="1490"/>
      <c r="M242" s="1490"/>
    </row>
    <row r="243" spans="6:13" ht="14.25">
      <c r="F243" s="1426"/>
      <c r="K243" s="1490"/>
      <c r="M243" s="1490"/>
    </row>
    <row r="244" spans="6:13" ht="14.25">
      <c r="F244" s="1426"/>
      <c r="K244" s="1490"/>
      <c r="M244" s="1490"/>
    </row>
    <row r="245" spans="6:13" ht="14.25">
      <c r="F245" s="1426"/>
      <c r="K245" s="1490"/>
      <c r="M245" s="1490"/>
    </row>
    <row r="246" spans="6:13" ht="14.25">
      <c r="F246" s="1426"/>
      <c r="K246" s="1490"/>
      <c r="M246" s="1490"/>
    </row>
    <row r="247" spans="6:13" ht="14.25">
      <c r="F247" s="1426"/>
      <c r="K247" s="1490"/>
      <c r="M247" s="1490"/>
    </row>
    <row r="248" spans="6:13" ht="14.25">
      <c r="F248" s="1426"/>
      <c r="K248" s="1490"/>
      <c r="M248" s="1490"/>
    </row>
    <row r="249" spans="6:13" ht="14.25">
      <c r="F249" s="1426"/>
      <c r="K249" s="1490"/>
      <c r="M249" s="1490"/>
    </row>
    <row r="250" spans="6:13" ht="14.25">
      <c r="F250" s="1426"/>
      <c r="K250" s="1490"/>
      <c r="M250" s="1490"/>
    </row>
    <row r="251" spans="6:13" ht="14.25">
      <c r="F251" s="1426"/>
      <c r="K251" s="1490"/>
      <c r="M251" s="1490"/>
    </row>
    <row r="252" spans="6:13" ht="14.25">
      <c r="F252" s="1426"/>
      <c r="K252" s="1490"/>
      <c r="M252" s="1490"/>
    </row>
    <row r="253" spans="6:13" ht="14.25">
      <c r="F253" s="1426"/>
      <c r="K253" s="1490"/>
      <c r="M253" s="1490"/>
    </row>
    <row r="254" spans="6:13" ht="14.25">
      <c r="F254" s="1426"/>
      <c r="K254" s="1490"/>
      <c r="M254" s="1490"/>
    </row>
    <row r="255" spans="6:13" ht="14.25">
      <c r="F255" s="1426"/>
      <c r="K255" s="1490"/>
      <c r="M255" s="1490"/>
    </row>
    <row r="256" spans="6:13" ht="14.25">
      <c r="F256" s="1426"/>
      <c r="K256" s="1490"/>
      <c r="M256" s="1490"/>
    </row>
    <row r="257" spans="6:13" ht="14.25">
      <c r="F257" s="1426"/>
      <c r="K257" s="1490"/>
      <c r="M257" s="1490"/>
    </row>
    <row r="258" spans="6:13" ht="14.25">
      <c r="F258" s="1426"/>
      <c r="K258" s="1490"/>
      <c r="M258" s="1490"/>
    </row>
    <row r="259" spans="6:13" ht="14.25">
      <c r="F259" s="1426"/>
      <c r="K259" s="1490"/>
      <c r="M259" s="1490"/>
    </row>
    <row r="260" spans="6:13" ht="14.25">
      <c r="F260" s="1426"/>
      <c r="K260" s="1490"/>
      <c r="M260" s="1490"/>
    </row>
    <row r="261" spans="6:13" ht="14.25">
      <c r="F261" s="1426"/>
      <c r="K261" s="1490"/>
      <c r="M261" s="1490"/>
    </row>
    <row r="262" spans="6:13" ht="14.25">
      <c r="F262" s="1426"/>
      <c r="K262" s="1490"/>
      <c r="M262" s="1490"/>
    </row>
    <row r="263" spans="6:13" ht="14.25">
      <c r="F263" s="1426"/>
      <c r="K263" s="1490"/>
      <c r="M263" s="1490"/>
    </row>
    <row r="264" spans="6:13" ht="14.25">
      <c r="F264" s="1426"/>
      <c r="K264" s="1490"/>
      <c r="M264" s="1490"/>
    </row>
    <row r="265" spans="6:13" ht="14.25">
      <c r="F265" s="1426"/>
      <c r="K265" s="1490"/>
      <c r="M265" s="1490"/>
    </row>
    <row r="266" spans="6:13" ht="14.25">
      <c r="F266" s="1426"/>
      <c r="K266" s="1490"/>
      <c r="M266" s="1490"/>
    </row>
    <row r="267" spans="6:13" ht="14.25">
      <c r="F267" s="1426"/>
      <c r="K267" s="1490"/>
      <c r="M267" s="1490"/>
    </row>
    <row r="268" spans="6:13" ht="14.25">
      <c r="F268" s="1426"/>
      <c r="K268" s="1490"/>
      <c r="M268" s="1490"/>
    </row>
    <row r="269" spans="6:13" ht="14.25">
      <c r="F269" s="1426"/>
      <c r="K269" s="1490"/>
      <c r="M269" s="1490"/>
    </row>
    <row r="270" spans="6:13" ht="14.25">
      <c r="F270" s="1426"/>
      <c r="K270" s="1490"/>
      <c r="M270" s="1490"/>
    </row>
    <row r="271" spans="6:13" ht="14.25">
      <c r="F271" s="1426"/>
      <c r="K271" s="1490"/>
      <c r="M271" s="1490"/>
    </row>
    <row r="272" spans="6:13" ht="14.25">
      <c r="F272" s="1426"/>
      <c r="K272" s="1490"/>
      <c r="M272" s="1490"/>
    </row>
    <row r="273" spans="6:13" ht="14.25">
      <c r="F273" s="1426"/>
      <c r="K273" s="1490"/>
      <c r="M273" s="1490"/>
    </row>
    <row r="274" spans="6:13" ht="14.25">
      <c r="F274" s="1426"/>
      <c r="K274" s="1490"/>
      <c r="M274" s="1490"/>
    </row>
    <row r="275" spans="6:13" ht="14.25">
      <c r="F275" s="1426"/>
      <c r="K275" s="1490"/>
      <c r="M275" s="1490"/>
    </row>
    <row r="276" spans="6:13" ht="14.25">
      <c r="F276" s="1426"/>
      <c r="K276" s="1490"/>
      <c r="M276" s="1490"/>
    </row>
    <row r="277" spans="6:13" ht="14.25">
      <c r="F277" s="1426"/>
      <c r="K277" s="1490"/>
      <c r="M277" s="1490"/>
    </row>
    <row r="278" spans="6:13" ht="14.25">
      <c r="F278" s="1426"/>
      <c r="K278" s="1490"/>
      <c r="M278" s="1490"/>
    </row>
    <row r="279" spans="6:13" ht="14.25">
      <c r="F279" s="1426"/>
      <c r="K279" s="1490"/>
      <c r="M279" s="1490"/>
    </row>
    <row r="280" spans="6:13" ht="14.25">
      <c r="F280" s="1426"/>
      <c r="K280" s="1490"/>
      <c r="M280" s="1490"/>
    </row>
    <row r="281" spans="6:13" ht="14.25">
      <c r="F281" s="1426"/>
      <c r="K281" s="1490"/>
      <c r="M281" s="1490"/>
    </row>
    <row r="282" spans="6:13" ht="14.25">
      <c r="F282" s="1426"/>
      <c r="K282" s="1490"/>
      <c r="M282" s="1490"/>
    </row>
    <row r="283" spans="6:13" ht="14.25">
      <c r="F283" s="1426"/>
      <c r="K283" s="1490"/>
      <c r="M283" s="1490"/>
    </row>
    <row r="284" spans="6:13" ht="14.25">
      <c r="F284" s="1426"/>
      <c r="K284" s="1490"/>
      <c r="M284" s="1490"/>
    </row>
    <row r="285" spans="6:13" ht="14.25">
      <c r="F285" s="1426"/>
      <c r="K285" s="1490"/>
      <c r="M285" s="1490"/>
    </row>
    <row r="286" spans="6:13" ht="14.25">
      <c r="F286" s="1426"/>
      <c r="K286" s="1490"/>
      <c r="M286" s="1490"/>
    </row>
    <row r="287" spans="6:13" ht="14.25">
      <c r="F287" s="1426"/>
      <c r="K287" s="1490"/>
      <c r="M287" s="1490"/>
    </row>
    <row r="288" spans="6:13" ht="14.25">
      <c r="F288" s="1426"/>
      <c r="K288" s="1490"/>
      <c r="M288" s="1490"/>
    </row>
    <row r="289" spans="6:13" ht="14.25">
      <c r="F289" s="1426"/>
      <c r="K289" s="1490"/>
      <c r="M289" s="1490"/>
    </row>
    <row r="290" spans="6:13" ht="14.25">
      <c r="F290" s="1426"/>
      <c r="K290" s="1490"/>
      <c r="M290" s="1490"/>
    </row>
    <row r="291" spans="6:13" ht="14.25">
      <c r="F291" s="1426"/>
      <c r="K291" s="1490"/>
      <c r="M291" s="1490"/>
    </row>
    <row r="292" spans="6:13" ht="14.25">
      <c r="F292" s="1426"/>
      <c r="K292" s="1490"/>
      <c r="M292" s="1490"/>
    </row>
    <row r="293" spans="6:13" ht="14.25">
      <c r="F293" s="1426"/>
      <c r="K293" s="1490"/>
      <c r="M293" s="1490"/>
    </row>
    <row r="294" spans="6:13" ht="14.25">
      <c r="F294" s="1426"/>
      <c r="K294" s="1490"/>
      <c r="M294" s="1490"/>
    </row>
    <row r="295" spans="6:13" ht="14.25">
      <c r="F295" s="1426"/>
      <c r="K295" s="1490"/>
      <c r="M295" s="1490"/>
    </row>
    <row r="296" spans="6:13" ht="14.25">
      <c r="F296" s="1426"/>
      <c r="K296" s="1490"/>
      <c r="M296" s="1490"/>
    </row>
    <row r="297" spans="6:13" ht="14.25">
      <c r="F297" s="1426"/>
      <c r="K297" s="1490"/>
      <c r="M297" s="1490"/>
    </row>
    <row r="298" spans="6:13" ht="14.25">
      <c r="F298" s="1426"/>
      <c r="K298" s="1490"/>
      <c r="M298" s="1490"/>
    </row>
    <row r="299" spans="6:13" ht="14.25">
      <c r="F299" s="1426"/>
      <c r="K299" s="1490"/>
      <c r="M299" s="1490"/>
    </row>
    <row r="300" spans="6:13" ht="14.25">
      <c r="F300" s="1426"/>
      <c r="K300" s="1490"/>
      <c r="M300" s="1490"/>
    </row>
    <row r="301" spans="6:13" ht="14.25">
      <c r="F301" s="1426"/>
      <c r="K301" s="1490"/>
      <c r="M301" s="1490"/>
    </row>
    <row r="302" spans="6:13" ht="14.25">
      <c r="F302" s="1426"/>
      <c r="K302" s="1490"/>
      <c r="M302" s="1490"/>
    </row>
    <row r="303" spans="6:13" ht="14.25">
      <c r="F303" s="1426"/>
      <c r="K303" s="1490"/>
      <c r="M303" s="1490"/>
    </row>
    <row r="304" spans="6:13" ht="14.25">
      <c r="F304" s="1426"/>
      <c r="K304" s="1490"/>
      <c r="M304" s="1490"/>
    </row>
    <row r="305" spans="6:13" ht="14.25">
      <c r="F305" s="1426"/>
      <c r="K305" s="1490"/>
      <c r="M305" s="1490"/>
    </row>
    <row r="306" spans="6:13" ht="14.25">
      <c r="F306" s="1426"/>
      <c r="K306" s="1490"/>
      <c r="M306" s="1490"/>
    </row>
    <row r="307" spans="6:13" ht="14.25">
      <c r="F307" s="1426"/>
      <c r="K307" s="1490"/>
      <c r="M307" s="1490"/>
    </row>
    <row r="308" spans="6:13" ht="14.25">
      <c r="F308" s="1426"/>
      <c r="K308" s="1490"/>
      <c r="M308" s="1490"/>
    </row>
    <row r="309" spans="6:13" ht="14.25">
      <c r="F309" s="1426"/>
      <c r="K309" s="1490"/>
      <c r="M309" s="1490"/>
    </row>
    <row r="310" spans="6:13" ht="14.25">
      <c r="F310" s="1426"/>
      <c r="K310" s="1490"/>
      <c r="M310" s="1490"/>
    </row>
    <row r="311" spans="6:13" ht="14.25">
      <c r="F311" s="1426"/>
      <c r="K311" s="1490"/>
      <c r="M311" s="1490"/>
    </row>
    <row r="312" spans="6:13" ht="14.25">
      <c r="F312" s="1426"/>
      <c r="K312" s="1490"/>
      <c r="M312" s="1490"/>
    </row>
    <row r="313" spans="6:13" ht="14.25">
      <c r="F313" s="1426"/>
      <c r="K313" s="1490"/>
      <c r="M313" s="1490"/>
    </row>
    <row r="314" spans="6:13" ht="14.25">
      <c r="F314" s="1426"/>
      <c r="K314" s="1490"/>
      <c r="M314" s="1490"/>
    </row>
    <row r="315" spans="6:13" ht="14.25">
      <c r="F315" s="1426"/>
      <c r="K315" s="1490"/>
      <c r="M315" s="1490"/>
    </row>
    <row r="316" spans="6:13" ht="14.25">
      <c r="F316" s="1426"/>
      <c r="K316" s="1490"/>
      <c r="M316" s="1490"/>
    </row>
    <row r="317" spans="6:13" ht="14.25">
      <c r="F317" s="1426"/>
      <c r="K317" s="1490"/>
      <c r="M317" s="1490"/>
    </row>
    <row r="318" spans="6:13" ht="14.25">
      <c r="F318" s="1426"/>
      <c r="K318" s="1490"/>
      <c r="M318" s="1490"/>
    </row>
    <row r="319" spans="6:13" ht="14.25">
      <c r="F319" s="1426"/>
      <c r="K319" s="1490"/>
      <c r="M319" s="1490"/>
    </row>
    <row r="320" spans="6:13" ht="14.25">
      <c r="F320" s="1426"/>
      <c r="K320" s="1490"/>
      <c r="M320" s="1490"/>
    </row>
    <row r="321" spans="6:13" ht="14.25">
      <c r="F321" s="1426"/>
      <c r="K321" s="1490"/>
      <c r="M321" s="1490"/>
    </row>
    <row r="322" spans="6:13" ht="14.25">
      <c r="F322" s="1426"/>
      <c r="K322" s="1490"/>
      <c r="M322" s="1490"/>
    </row>
    <row r="323" spans="6:13" ht="14.25">
      <c r="F323" s="1426"/>
      <c r="K323" s="1490"/>
      <c r="M323" s="1490"/>
    </row>
    <row r="324" spans="6:13" ht="14.25">
      <c r="F324" s="1426"/>
      <c r="K324" s="1490"/>
      <c r="M324" s="1490"/>
    </row>
    <row r="325" spans="6:13" ht="14.25">
      <c r="F325" s="1426"/>
      <c r="K325" s="1490"/>
      <c r="M325" s="1490"/>
    </row>
    <row r="326" spans="6:13" ht="14.25">
      <c r="F326" s="1426"/>
      <c r="K326" s="1490"/>
      <c r="M326" s="1490"/>
    </row>
    <row r="327" spans="6:13" ht="14.25">
      <c r="F327" s="1426"/>
      <c r="K327" s="1490"/>
      <c r="M327" s="1490"/>
    </row>
    <row r="328" spans="6:13" ht="14.25">
      <c r="F328" s="1426"/>
      <c r="K328" s="1490"/>
      <c r="M328" s="1490"/>
    </row>
    <row r="329" spans="6:13" ht="14.25">
      <c r="F329" s="1426"/>
      <c r="K329" s="1490"/>
      <c r="M329" s="1490"/>
    </row>
    <row r="330" spans="6:13" ht="14.25">
      <c r="F330" s="1426"/>
      <c r="K330" s="1490"/>
      <c r="M330" s="1490"/>
    </row>
    <row r="331" spans="6:13" ht="14.25">
      <c r="F331" s="1426"/>
      <c r="K331" s="1490"/>
      <c r="M331" s="1490"/>
    </row>
    <row r="332" spans="6:13" ht="14.25">
      <c r="F332" s="1426"/>
      <c r="K332" s="1490"/>
      <c r="M332" s="1490"/>
    </row>
    <row r="333" spans="6:13" ht="14.25">
      <c r="F333" s="1426"/>
      <c r="K333" s="1490"/>
      <c r="M333" s="1490"/>
    </row>
    <row r="334" spans="6:13" ht="14.25">
      <c r="F334" s="1426"/>
      <c r="K334" s="1490"/>
      <c r="M334" s="1490"/>
    </row>
    <row r="335" spans="6:13" ht="14.25">
      <c r="F335" s="1426"/>
      <c r="K335" s="1490"/>
      <c r="M335" s="1490"/>
    </row>
    <row r="336" spans="6:13" ht="14.25">
      <c r="F336" s="1426"/>
      <c r="K336" s="1490"/>
      <c r="M336" s="1490"/>
    </row>
    <row r="337" spans="6:13" ht="14.25">
      <c r="F337" s="1426"/>
      <c r="K337" s="1490"/>
      <c r="M337" s="1490"/>
    </row>
    <row r="338" spans="6:13" ht="14.25">
      <c r="F338" s="1426"/>
      <c r="K338" s="1490"/>
      <c r="M338" s="1490"/>
    </row>
    <row r="339" spans="6:13" ht="14.25">
      <c r="F339" s="1426"/>
      <c r="K339" s="1490"/>
      <c r="M339" s="1490"/>
    </row>
    <row r="340" spans="6:13" ht="14.25">
      <c r="F340" s="1426"/>
      <c r="K340" s="1490"/>
      <c r="M340" s="1490"/>
    </row>
    <row r="341" spans="6:13" ht="14.25">
      <c r="F341" s="1426"/>
      <c r="K341" s="1490"/>
      <c r="M341" s="1490"/>
    </row>
    <row r="342" spans="6:13" ht="14.25">
      <c r="F342" s="1426"/>
      <c r="K342" s="1490"/>
      <c r="M342" s="1490"/>
    </row>
    <row r="343" spans="6:13" ht="14.25">
      <c r="F343" s="1426"/>
      <c r="K343" s="1490"/>
      <c r="M343" s="1490"/>
    </row>
    <row r="344" spans="6:13" ht="14.25">
      <c r="F344" s="1426"/>
      <c r="K344" s="1490"/>
      <c r="M344" s="1490"/>
    </row>
    <row r="345" spans="6:13" ht="14.25">
      <c r="F345" s="1426"/>
      <c r="K345" s="1490"/>
      <c r="M345" s="1490"/>
    </row>
    <row r="346" spans="6:13" ht="14.25">
      <c r="F346" s="1426"/>
      <c r="K346" s="1490"/>
      <c r="M346" s="1490"/>
    </row>
    <row r="347" spans="6:13" ht="14.25">
      <c r="F347" s="1426"/>
      <c r="K347" s="1490"/>
      <c r="M347" s="1490"/>
    </row>
    <row r="348" spans="6:13" ht="14.25">
      <c r="F348" s="1426"/>
      <c r="K348" s="1490"/>
      <c r="M348" s="1490"/>
    </row>
    <row r="349" spans="6:13" ht="14.25">
      <c r="F349" s="1426"/>
      <c r="K349" s="1490"/>
      <c r="M349" s="1490"/>
    </row>
    <row r="350" spans="6:13" ht="14.25">
      <c r="F350" s="1426"/>
      <c r="K350" s="1490"/>
      <c r="M350" s="1490"/>
    </row>
    <row r="351" spans="6:13" ht="14.25">
      <c r="F351" s="1426"/>
      <c r="K351" s="1490"/>
      <c r="M351" s="1490"/>
    </row>
    <row r="352" spans="6:13" ht="14.25">
      <c r="F352" s="1426"/>
      <c r="K352" s="1490"/>
      <c r="M352" s="1490"/>
    </row>
    <row r="353" spans="6:13" ht="14.25">
      <c r="F353" s="1426"/>
      <c r="K353" s="1490"/>
      <c r="M353" s="1490"/>
    </row>
    <row r="354" spans="6:13" ht="14.25">
      <c r="F354" s="1426"/>
      <c r="K354" s="1490"/>
      <c r="M354" s="1490"/>
    </row>
    <row r="355" spans="6:13" ht="14.25">
      <c r="F355" s="1426"/>
      <c r="K355" s="1490"/>
      <c r="M355" s="1490"/>
    </row>
    <row r="356" spans="6:13" ht="14.25">
      <c r="F356" s="1426"/>
      <c r="K356" s="1490"/>
      <c r="M356" s="1490"/>
    </row>
    <row r="357" spans="6:13" ht="14.25">
      <c r="F357" s="1426"/>
      <c r="K357" s="1490"/>
      <c r="M357" s="1490"/>
    </row>
    <row r="358" spans="6:13" ht="14.25">
      <c r="F358" s="1426"/>
      <c r="K358" s="1490"/>
      <c r="M358" s="1490"/>
    </row>
    <row r="359" spans="6:13" ht="14.25">
      <c r="F359" s="1426"/>
      <c r="K359" s="1490"/>
      <c r="M359" s="1490"/>
    </row>
    <row r="360" spans="6:13" ht="14.25">
      <c r="F360" s="1426"/>
      <c r="K360" s="1490"/>
      <c r="M360" s="1490"/>
    </row>
    <row r="361" spans="6:13" ht="14.25">
      <c r="F361" s="1426"/>
      <c r="K361" s="1490"/>
      <c r="M361" s="1490"/>
    </row>
    <row r="362" spans="6:13" ht="14.25">
      <c r="F362" s="1426"/>
      <c r="K362" s="1490"/>
      <c r="M362" s="1490"/>
    </row>
    <row r="363" spans="6:13" ht="14.25">
      <c r="F363" s="1426"/>
      <c r="K363" s="1490"/>
      <c r="M363" s="1490"/>
    </row>
    <row r="364" spans="6:13" ht="14.25">
      <c r="F364" s="1426"/>
      <c r="K364" s="1490"/>
      <c r="M364" s="1490"/>
    </row>
    <row r="365" spans="6:13" ht="14.25">
      <c r="F365" s="1426"/>
      <c r="K365" s="1490"/>
      <c r="M365" s="1490"/>
    </row>
    <row r="366" spans="6:13" ht="14.25">
      <c r="F366" s="1426"/>
      <c r="K366" s="1490"/>
      <c r="M366" s="1490"/>
    </row>
    <row r="367" spans="6:13" ht="14.25">
      <c r="F367" s="1426"/>
      <c r="K367" s="1490"/>
      <c r="M367" s="1490"/>
    </row>
    <row r="368" spans="6:13" ht="14.25">
      <c r="F368" s="1426"/>
      <c r="K368" s="1490"/>
      <c r="M368" s="1490"/>
    </row>
    <row r="369" spans="6:13" ht="14.25">
      <c r="F369" s="1426"/>
      <c r="K369" s="1490"/>
      <c r="M369" s="1490"/>
    </row>
    <row r="370" spans="6:13" ht="14.25">
      <c r="F370" s="1426"/>
      <c r="K370" s="1490"/>
      <c r="M370" s="1490"/>
    </row>
    <row r="371" spans="6:13" ht="14.25">
      <c r="F371" s="1426"/>
      <c r="K371" s="1490"/>
      <c r="M371" s="1490"/>
    </row>
    <row r="372" spans="6:13" ht="14.25">
      <c r="F372" s="1426"/>
      <c r="K372" s="1490"/>
      <c r="M372" s="1490"/>
    </row>
    <row r="373" spans="6:13" ht="14.25">
      <c r="F373" s="1426"/>
      <c r="K373" s="1490"/>
      <c r="M373" s="1490"/>
    </row>
    <row r="374" spans="6:13" ht="14.25">
      <c r="F374" s="1426"/>
      <c r="K374" s="1490"/>
      <c r="M374" s="1490"/>
    </row>
    <row r="375" spans="6:13" ht="14.25">
      <c r="F375" s="1426"/>
      <c r="K375" s="1490"/>
      <c r="M375" s="1490"/>
    </row>
    <row r="376" spans="6:13" ht="14.25">
      <c r="F376" s="1426"/>
      <c r="K376" s="1490"/>
      <c r="M376" s="1490"/>
    </row>
    <row r="377" spans="6:13" ht="14.25">
      <c r="F377" s="1426"/>
      <c r="K377" s="1490"/>
      <c r="M377" s="1490"/>
    </row>
    <row r="378" spans="6:13" ht="14.25">
      <c r="F378" s="1426"/>
      <c r="K378" s="1490"/>
      <c r="M378" s="1490"/>
    </row>
    <row r="379" spans="6:13" ht="14.25">
      <c r="F379" s="1426"/>
      <c r="K379" s="1490"/>
      <c r="M379" s="1490"/>
    </row>
    <row r="380" spans="6:13" ht="14.25">
      <c r="F380" s="1426"/>
      <c r="K380" s="1490"/>
      <c r="M380" s="1490"/>
    </row>
    <row r="381" spans="6:13" ht="14.25">
      <c r="F381" s="1426"/>
      <c r="K381" s="1490"/>
      <c r="M381" s="1490"/>
    </row>
    <row r="382" spans="6:13" ht="14.25">
      <c r="F382" s="1426"/>
      <c r="K382" s="1490"/>
      <c r="M382" s="1490"/>
    </row>
    <row r="383" spans="6:13" ht="14.25">
      <c r="F383" s="1426"/>
      <c r="K383" s="1490"/>
      <c r="M383" s="1490"/>
    </row>
    <row r="384" spans="6:13" ht="14.25">
      <c r="F384" s="1426"/>
      <c r="K384" s="1490"/>
      <c r="M384" s="1490"/>
    </row>
    <row r="385" spans="6:13" ht="14.25">
      <c r="F385" s="1426"/>
      <c r="K385" s="1490"/>
      <c r="M385" s="1490"/>
    </row>
    <row r="386" spans="6:13" ht="14.25">
      <c r="F386" s="1426"/>
      <c r="K386" s="1490"/>
      <c r="M386" s="1490"/>
    </row>
    <row r="387" spans="6:13" ht="14.25">
      <c r="F387" s="1426"/>
      <c r="K387" s="1490"/>
      <c r="M387" s="1490"/>
    </row>
    <row r="388" spans="6:13" ht="14.25">
      <c r="F388" s="1426"/>
      <c r="K388" s="1490"/>
      <c r="M388" s="1490"/>
    </row>
    <row r="389" spans="6:13" ht="14.25">
      <c r="F389" s="1426"/>
      <c r="K389" s="1490"/>
      <c r="M389" s="1490"/>
    </row>
    <row r="390" spans="6:13" ht="14.25">
      <c r="F390" s="1426"/>
      <c r="K390" s="1490"/>
      <c r="M390" s="1490"/>
    </row>
    <row r="391" spans="6:13" ht="14.25">
      <c r="F391" s="1426"/>
      <c r="K391" s="1490"/>
      <c r="M391" s="1490"/>
    </row>
    <row r="392" spans="6:13" ht="14.25">
      <c r="F392" s="1426"/>
      <c r="K392" s="1490"/>
      <c r="M392" s="1490"/>
    </row>
    <row r="393" spans="6:13" ht="14.25">
      <c r="F393" s="1426"/>
      <c r="K393" s="1490"/>
      <c r="M393" s="1490"/>
    </row>
    <row r="394" spans="6:13" ht="14.25">
      <c r="F394" s="1426"/>
      <c r="K394" s="1490"/>
      <c r="M394" s="1490"/>
    </row>
    <row r="395" spans="6:13" ht="14.25">
      <c r="F395" s="1426"/>
      <c r="K395" s="1490"/>
      <c r="M395" s="1490"/>
    </row>
    <row r="396" spans="6:13" ht="14.25">
      <c r="F396" s="1426"/>
      <c r="K396" s="1490"/>
      <c r="M396" s="1490"/>
    </row>
    <row r="397" spans="6:13" ht="14.25">
      <c r="F397" s="1426"/>
      <c r="K397" s="1490"/>
      <c r="M397" s="1490"/>
    </row>
    <row r="398" spans="6:13" ht="14.25">
      <c r="F398" s="1426"/>
      <c r="K398" s="1490"/>
      <c r="M398" s="1490"/>
    </row>
    <row r="399" spans="6:13" ht="14.25">
      <c r="F399" s="1426"/>
      <c r="K399" s="1490"/>
      <c r="M399" s="1490"/>
    </row>
    <row r="400" spans="6:13" ht="14.25">
      <c r="F400" s="1426"/>
      <c r="K400" s="1490"/>
      <c r="M400" s="1490"/>
    </row>
    <row r="401" spans="6:13" ht="14.25">
      <c r="F401" s="1426"/>
      <c r="K401" s="1490"/>
      <c r="M401" s="1490"/>
    </row>
    <row r="402" spans="6:13" ht="14.25">
      <c r="F402" s="1426"/>
      <c r="K402" s="1490"/>
      <c r="M402" s="1490"/>
    </row>
    <row r="403" spans="6:13" ht="14.25">
      <c r="F403" s="1426"/>
      <c r="K403" s="1490"/>
      <c r="M403" s="1490"/>
    </row>
    <row r="404" spans="6:13" ht="14.25">
      <c r="F404" s="1426"/>
      <c r="K404" s="1490"/>
      <c r="M404" s="1490"/>
    </row>
    <row r="405" spans="6:13" ht="14.25">
      <c r="F405" s="1426"/>
      <c r="K405" s="1490"/>
      <c r="M405" s="1490"/>
    </row>
    <row r="406" spans="6:13" ht="14.25">
      <c r="F406" s="1426"/>
      <c r="K406" s="1490"/>
      <c r="M406" s="1490"/>
    </row>
    <row r="407" spans="6:13" ht="14.25">
      <c r="F407" s="1426"/>
      <c r="K407" s="1490"/>
      <c r="M407" s="1490"/>
    </row>
    <row r="408" spans="6:13" ht="14.25">
      <c r="F408" s="1426"/>
      <c r="K408" s="1490"/>
      <c r="M408" s="1490"/>
    </row>
    <row r="409" spans="6:13" ht="14.25">
      <c r="F409" s="1426"/>
      <c r="K409" s="1490"/>
      <c r="M409" s="1490"/>
    </row>
    <row r="410" spans="6:13" ht="14.25">
      <c r="F410" s="1426"/>
      <c r="K410" s="1490"/>
      <c r="M410" s="1490"/>
    </row>
    <row r="411" spans="6:13" ht="14.25">
      <c r="F411" s="1426"/>
      <c r="K411" s="1490"/>
      <c r="M411" s="1490"/>
    </row>
    <row r="412" spans="6:13" ht="14.25">
      <c r="F412" s="1426"/>
      <c r="K412" s="1490"/>
      <c r="M412" s="1490"/>
    </row>
    <row r="413" spans="6:13" ht="14.25">
      <c r="F413" s="1426"/>
      <c r="K413" s="1490"/>
      <c r="M413" s="1490"/>
    </row>
    <row r="414" spans="6:13" ht="14.25">
      <c r="F414" s="1426"/>
      <c r="K414" s="1490"/>
      <c r="M414" s="1490"/>
    </row>
    <row r="415" spans="6:13" ht="14.25">
      <c r="F415" s="1426"/>
      <c r="K415" s="1490"/>
      <c r="M415" s="1490"/>
    </row>
    <row r="416" spans="6:13" ht="14.25">
      <c r="F416" s="1426"/>
      <c r="K416" s="1490"/>
      <c r="M416" s="1490"/>
    </row>
    <row r="417" spans="6:13" ht="14.25">
      <c r="F417" s="1426"/>
      <c r="K417" s="1490"/>
      <c r="M417" s="1490"/>
    </row>
    <row r="418" spans="6:13" ht="14.25">
      <c r="F418" s="1426"/>
      <c r="K418" s="1490"/>
      <c r="M418" s="1490"/>
    </row>
    <row r="419" spans="6:13" ht="14.25">
      <c r="F419" s="1426"/>
      <c r="K419" s="1490"/>
      <c r="M419" s="1490"/>
    </row>
    <row r="420" spans="6:13" ht="14.25">
      <c r="F420" s="1426"/>
      <c r="K420" s="1490"/>
      <c r="M420" s="1490"/>
    </row>
    <row r="421" spans="6:13" ht="14.25">
      <c r="F421" s="1426"/>
      <c r="K421" s="1490"/>
      <c r="M421" s="1490"/>
    </row>
    <row r="422" spans="6:13" ht="14.25">
      <c r="F422" s="1426"/>
      <c r="K422" s="1490"/>
      <c r="M422" s="1490"/>
    </row>
    <row r="423" spans="6:13" ht="14.25">
      <c r="F423" s="1426"/>
      <c r="K423" s="1490"/>
      <c r="M423" s="1490"/>
    </row>
    <row r="424" spans="6:13" ht="14.25">
      <c r="F424" s="1426"/>
      <c r="K424" s="1490"/>
      <c r="M424" s="1490"/>
    </row>
    <row r="425" spans="6:13" ht="14.25">
      <c r="F425" s="1426"/>
      <c r="K425" s="1490"/>
      <c r="M425" s="1490"/>
    </row>
    <row r="426" spans="6:13" ht="14.25">
      <c r="F426" s="1426"/>
      <c r="K426" s="1490"/>
      <c r="M426" s="1490"/>
    </row>
    <row r="427" spans="6:13" ht="14.25">
      <c r="F427" s="1426"/>
      <c r="K427" s="1490"/>
      <c r="M427" s="1490"/>
    </row>
    <row r="428" spans="6:13" ht="14.25">
      <c r="F428" s="1426"/>
      <c r="K428" s="1490"/>
      <c r="M428" s="1490"/>
    </row>
    <row r="429" spans="6:13" ht="14.25">
      <c r="F429" s="1426"/>
      <c r="K429" s="1490"/>
      <c r="M429" s="1490"/>
    </row>
    <row r="430" spans="6:13" ht="14.25">
      <c r="F430" s="1426"/>
      <c r="K430" s="1490"/>
      <c r="M430" s="1490"/>
    </row>
    <row r="431" spans="6:13" ht="14.25">
      <c r="F431" s="1426"/>
      <c r="K431" s="1490"/>
      <c r="M431" s="1490"/>
    </row>
    <row r="432" spans="6:13" ht="14.25">
      <c r="F432" s="1426"/>
      <c r="K432" s="1490"/>
      <c r="M432" s="1490"/>
    </row>
    <row r="433" spans="6:13" ht="14.25">
      <c r="F433" s="1426"/>
      <c r="K433" s="1490"/>
      <c r="M433" s="1490"/>
    </row>
    <row r="434" spans="6:13" ht="14.25">
      <c r="F434" s="1426"/>
      <c r="K434" s="1490"/>
      <c r="M434" s="1490"/>
    </row>
    <row r="435" spans="6:13" ht="14.25">
      <c r="F435" s="1426"/>
      <c r="K435" s="1490"/>
      <c r="M435" s="1490"/>
    </row>
    <row r="436" spans="6:13" ht="14.25">
      <c r="F436" s="1426"/>
      <c r="K436" s="1490"/>
      <c r="M436" s="1490"/>
    </row>
    <row r="437" spans="6:13" ht="14.25">
      <c r="F437" s="1426"/>
      <c r="K437" s="1490"/>
      <c r="M437" s="1490"/>
    </row>
    <row r="438" spans="6:13" ht="14.25">
      <c r="F438" s="1426"/>
      <c r="K438" s="1490"/>
      <c r="M438" s="1490"/>
    </row>
    <row r="439" spans="6:13" ht="14.25">
      <c r="F439" s="1426"/>
      <c r="K439" s="1490"/>
      <c r="M439" s="1490"/>
    </row>
    <row r="440" spans="6:13" ht="14.25">
      <c r="F440" s="1426"/>
      <c r="K440" s="1490"/>
      <c r="M440" s="1490"/>
    </row>
    <row r="441" spans="6:13" ht="14.25">
      <c r="F441" s="1426"/>
      <c r="K441" s="1490"/>
      <c r="M441" s="1490"/>
    </row>
    <row r="442" spans="6:13" ht="14.25">
      <c r="F442" s="1426"/>
      <c r="K442" s="1490"/>
      <c r="M442" s="1490"/>
    </row>
    <row r="443" spans="6:13" ht="14.25">
      <c r="F443" s="1426"/>
      <c r="K443" s="1490"/>
      <c r="M443" s="1490"/>
    </row>
    <row r="444" spans="6:13" ht="14.25">
      <c r="F444" s="1426"/>
      <c r="K444" s="1490"/>
      <c r="M444" s="1490"/>
    </row>
    <row r="445" spans="6:13" ht="14.25">
      <c r="F445" s="1426"/>
      <c r="K445" s="1490"/>
      <c r="M445" s="1490"/>
    </row>
    <row r="446" spans="6:13" ht="14.25">
      <c r="F446" s="1426"/>
      <c r="K446" s="1490"/>
      <c r="M446" s="1490"/>
    </row>
    <row r="447" spans="6:13" ht="14.25">
      <c r="F447" s="1426"/>
      <c r="K447" s="1490"/>
      <c r="M447" s="1490"/>
    </row>
    <row r="448" spans="6:13" ht="14.25">
      <c r="F448" s="1426"/>
      <c r="K448" s="1490"/>
      <c r="M448" s="1490"/>
    </row>
    <row r="449" spans="6:13" ht="14.25">
      <c r="F449" s="1426"/>
      <c r="K449" s="1490"/>
      <c r="M449" s="1490"/>
    </row>
    <row r="450" spans="6:13" ht="14.25">
      <c r="F450" s="1426"/>
      <c r="K450" s="1490"/>
      <c r="M450" s="1490"/>
    </row>
    <row r="451" spans="6:13" ht="14.25">
      <c r="F451" s="1426"/>
      <c r="K451" s="1490"/>
      <c r="M451" s="1490"/>
    </row>
    <row r="452" spans="6:13" ht="14.25">
      <c r="F452" s="1426"/>
      <c r="K452" s="1490"/>
      <c r="M452" s="1490"/>
    </row>
    <row r="453" spans="6:13" ht="14.25">
      <c r="F453" s="1426"/>
      <c r="K453" s="1490"/>
      <c r="M453" s="1490"/>
    </row>
    <row r="454" spans="6:13" ht="14.25">
      <c r="F454" s="1426"/>
      <c r="K454" s="1490"/>
      <c r="M454" s="1490"/>
    </row>
    <row r="455" spans="6:13" ht="14.25">
      <c r="F455" s="1426"/>
      <c r="K455" s="1490"/>
      <c r="M455" s="1490"/>
    </row>
    <row r="456" spans="6:13" ht="14.25">
      <c r="F456" s="1426"/>
      <c r="K456" s="1490"/>
      <c r="M456" s="1490"/>
    </row>
    <row r="457" spans="6:13" ht="14.25">
      <c r="F457" s="1426"/>
      <c r="K457" s="1490"/>
      <c r="M457" s="1490"/>
    </row>
    <row r="458" spans="6:13" ht="14.25">
      <c r="F458" s="1426"/>
      <c r="K458" s="1490"/>
      <c r="M458" s="1490"/>
    </row>
    <row r="459" spans="6:13" ht="14.25">
      <c r="F459" s="1426"/>
      <c r="K459" s="1490"/>
      <c r="M459" s="1490"/>
    </row>
    <row r="460" spans="6:13" ht="14.25">
      <c r="F460" s="1426"/>
      <c r="K460" s="1490"/>
      <c r="M460" s="1490"/>
    </row>
    <row r="461" spans="6:13" ht="14.25">
      <c r="F461" s="1426"/>
      <c r="K461" s="1490"/>
      <c r="M461" s="1490"/>
    </row>
    <row r="462" spans="6:13" ht="14.25">
      <c r="F462" s="1426"/>
      <c r="K462" s="1490"/>
      <c r="M462" s="1490"/>
    </row>
    <row r="463" spans="6:13" ht="14.25">
      <c r="F463" s="1426"/>
      <c r="K463" s="1490"/>
      <c r="M463" s="1490"/>
    </row>
    <row r="464" spans="6:13" ht="14.25">
      <c r="F464" s="1426"/>
      <c r="K464" s="1490"/>
      <c r="M464" s="1490"/>
    </row>
    <row r="465" spans="6:13" ht="14.25">
      <c r="F465" s="1426"/>
      <c r="K465" s="1490"/>
      <c r="M465" s="1490"/>
    </row>
    <row r="466" spans="6:13" ht="14.25">
      <c r="F466" s="1426"/>
      <c r="K466" s="1490"/>
      <c r="M466" s="1490"/>
    </row>
    <row r="467" spans="6:13" ht="14.25">
      <c r="F467" s="1426"/>
      <c r="K467" s="1490"/>
      <c r="M467" s="1490"/>
    </row>
    <row r="468" spans="6:13" ht="14.25">
      <c r="F468" s="1426"/>
      <c r="K468" s="1490"/>
      <c r="M468" s="1490"/>
    </row>
    <row r="469" spans="6:13" ht="14.25">
      <c r="F469" s="1426"/>
      <c r="K469" s="1490"/>
      <c r="M469" s="1490"/>
    </row>
    <row r="470" spans="6:13" ht="14.25">
      <c r="F470" s="1426"/>
      <c r="K470" s="1490"/>
      <c r="M470" s="1490"/>
    </row>
    <row r="471" spans="6:13" ht="14.25">
      <c r="F471" s="1426"/>
      <c r="K471" s="1490"/>
      <c r="M471" s="1490"/>
    </row>
    <row r="472" spans="6:13" ht="14.25">
      <c r="F472" s="1426"/>
      <c r="K472" s="1490"/>
      <c r="M472" s="1490"/>
    </row>
    <row r="473" spans="6:13" ht="14.25">
      <c r="F473" s="1426"/>
      <c r="K473" s="1490"/>
      <c r="M473" s="1490"/>
    </row>
    <row r="474" spans="6:13" ht="14.25">
      <c r="F474" s="1426"/>
      <c r="K474" s="1490"/>
      <c r="M474" s="1490"/>
    </row>
    <row r="475" spans="6:13" ht="14.25">
      <c r="F475" s="1426"/>
      <c r="K475" s="1490"/>
      <c r="M475" s="1490"/>
    </row>
    <row r="476" spans="6:13" ht="14.25">
      <c r="F476" s="1426"/>
      <c r="K476" s="1490"/>
      <c r="M476" s="1490"/>
    </row>
    <row r="477" spans="6:13" ht="14.25">
      <c r="F477" s="1426"/>
      <c r="K477" s="1490"/>
      <c r="M477" s="1490"/>
    </row>
    <row r="478" spans="6:13" ht="14.25">
      <c r="F478" s="1426"/>
      <c r="K478" s="1490"/>
      <c r="M478" s="1490"/>
    </row>
    <row r="479" spans="6:13" ht="14.25">
      <c r="F479" s="1426"/>
      <c r="K479" s="1490"/>
      <c r="M479" s="1490"/>
    </row>
    <row r="480" spans="6:13" ht="14.25">
      <c r="F480" s="1426"/>
      <c r="K480" s="1490"/>
      <c r="M480" s="1490"/>
    </row>
    <row r="481" spans="6:13" ht="14.25">
      <c r="F481" s="1426"/>
      <c r="K481" s="1490"/>
      <c r="M481" s="1490"/>
    </row>
    <row r="482" spans="6:13" ht="14.25">
      <c r="F482" s="1426"/>
      <c r="K482" s="1490"/>
      <c r="M482" s="1490"/>
    </row>
    <row r="483" spans="6:13" ht="14.25">
      <c r="F483" s="1426"/>
      <c r="K483" s="1490"/>
      <c r="M483" s="1490"/>
    </row>
    <row r="484" spans="6:13" ht="14.25">
      <c r="F484" s="1426"/>
      <c r="K484" s="1490"/>
      <c r="M484" s="1490"/>
    </row>
    <row r="485" spans="6:13" ht="14.25">
      <c r="F485" s="1426"/>
      <c r="K485" s="1490"/>
      <c r="M485" s="1490"/>
    </row>
    <row r="486" spans="6:13" ht="14.25">
      <c r="F486" s="1426"/>
      <c r="K486" s="1490"/>
      <c r="M486" s="1490"/>
    </row>
    <row r="487" spans="6:13" ht="14.25">
      <c r="F487" s="1426"/>
      <c r="K487" s="1490"/>
      <c r="M487" s="1490"/>
    </row>
    <row r="488" spans="6:13" ht="14.25">
      <c r="F488" s="1426"/>
      <c r="K488" s="1490"/>
      <c r="M488" s="1490"/>
    </row>
    <row r="489" spans="6:13" ht="14.25">
      <c r="F489" s="1426"/>
      <c r="K489" s="1490"/>
      <c r="M489" s="1490"/>
    </row>
    <row r="490" spans="6:13" ht="14.25">
      <c r="F490" s="1426"/>
      <c r="K490" s="1490"/>
      <c r="M490" s="1490"/>
    </row>
    <row r="491" spans="6:13" ht="14.25">
      <c r="F491" s="1426"/>
      <c r="K491" s="1490"/>
      <c r="M491" s="1490"/>
    </row>
    <row r="492" spans="6:13" ht="14.25">
      <c r="F492" s="1426"/>
      <c r="K492" s="1490"/>
      <c r="M492" s="1490"/>
    </row>
    <row r="493" spans="6:13" ht="14.25">
      <c r="F493" s="1426"/>
      <c r="K493" s="1490"/>
      <c r="M493" s="1490"/>
    </row>
    <row r="494" spans="6:13" ht="14.25">
      <c r="F494" s="1426"/>
      <c r="K494" s="1490"/>
      <c r="M494" s="1490"/>
    </row>
    <row r="495" spans="6:13" ht="14.25">
      <c r="F495" s="1426"/>
      <c r="K495" s="1490"/>
      <c r="M495" s="1490"/>
    </row>
    <row r="496" spans="6:13" ht="14.25">
      <c r="F496" s="1426"/>
      <c r="K496" s="1490"/>
      <c r="M496" s="1490"/>
    </row>
    <row r="497" spans="6:13" ht="14.25">
      <c r="F497" s="1426"/>
      <c r="K497" s="1490"/>
      <c r="M497" s="1490"/>
    </row>
    <row r="498" spans="6:13" ht="14.25">
      <c r="F498" s="1426"/>
      <c r="K498" s="1490"/>
      <c r="M498" s="1490"/>
    </row>
    <row r="499" spans="6:13" ht="14.25">
      <c r="F499" s="1426"/>
      <c r="K499" s="1490"/>
      <c r="M499" s="1490"/>
    </row>
    <row r="500" spans="6:13" ht="14.25">
      <c r="F500" s="1426"/>
      <c r="K500" s="1490"/>
      <c r="M500" s="1490"/>
    </row>
    <row r="501" spans="6:13" ht="14.25">
      <c r="F501" s="1426"/>
      <c r="K501" s="1490"/>
      <c r="M501" s="1490"/>
    </row>
    <row r="502" spans="6:13" ht="14.25">
      <c r="F502" s="1426"/>
      <c r="K502" s="1490"/>
      <c r="M502" s="1490"/>
    </row>
    <row r="503" spans="6:13" ht="14.25">
      <c r="F503" s="1426"/>
      <c r="K503" s="1490"/>
      <c r="M503" s="1490"/>
    </row>
    <row r="504" spans="6:13" ht="14.25">
      <c r="F504" s="1426"/>
      <c r="K504" s="1490"/>
      <c r="M504" s="1490"/>
    </row>
    <row r="505" spans="6:13" ht="14.25">
      <c r="F505" s="1426"/>
      <c r="K505" s="1490"/>
      <c r="M505" s="1490"/>
    </row>
    <row r="506" spans="6:13" ht="14.25">
      <c r="F506" s="1426"/>
      <c r="K506" s="1490"/>
      <c r="M506" s="1490"/>
    </row>
    <row r="507" spans="6:13" ht="14.25">
      <c r="F507" s="1426"/>
      <c r="K507" s="1490"/>
      <c r="M507" s="1490"/>
    </row>
    <row r="508" spans="6:13" ht="14.25">
      <c r="F508" s="1426"/>
      <c r="K508" s="1490"/>
      <c r="M508" s="1490"/>
    </row>
    <row r="509" spans="6:13" ht="14.25">
      <c r="F509" s="1426"/>
      <c r="K509" s="1490"/>
      <c r="M509" s="1490"/>
    </row>
    <row r="510" spans="6:13" ht="14.25">
      <c r="F510" s="1426"/>
      <c r="K510" s="1490"/>
      <c r="M510" s="1490"/>
    </row>
    <row r="511" spans="6:13" ht="14.25">
      <c r="F511" s="1426"/>
      <c r="K511" s="1490"/>
      <c r="M511" s="1490"/>
    </row>
    <row r="512" spans="6:13" ht="14.25">
      <c r="F512" s="1426"/>
      <c r="K512" s="1490"/>
      <c r="M512" s="1490"/>
    </row>
    <row r="513" spans="6:13" ht="14.25">
      <c r="F513" s="1426"/>
      <c r="K513" s="1490"/>
      <c r="M513" s="1490"/>
    </row>
    <row r="514" spans="6:13" ht="14.25">
      <c r="F514" s="1426"/>
      <c r="K514" s="1490"/>
      <c r="M514" s="1490"/>
    </row>
    <row r="515" spans="6:13" ht="14.25">
      <c r="F515" s="1426"/>
      <c r="K515" s="1490"/>
      <c r="M515" s="1490"/>
    </row>
    <row r="516" spans="6:13" ht="14.25">
      <c r="F516" s="1426"/>
      <c r="K516" s="1490"/>
      <c r="M516" s="1490"/>
    </row>
    <row r="517" spans="6:13" ht="14.25">
      <c r="F517" s="1426"/>
      <c r="K517" s="1490"/>
      <c r="M517" s="1490"/>
    </row>
    <row r="518" spans="6:13" ht="14.25">
      <c r="F518" s="1426"/>
      <c r="K518" s="1490"/>
      <c r="M518" s="1490"/>
    </row>
    <row r="519" spans="6:13" ht="14.25">
      <c r="F519" s="1426"/>
      <c r="K519" s="1490"/>
      <c r="M519" s="1490"/>
    </row>
    <row r="520" spans="6:13" ht="14.25">
      <c r="F520" s="1426"/>
      <c r="K520" s="1490"/>
      <c r="M520" s="1490"/>
    </row>
    <row r="521" spans="6:13" ht="14.25">
      <c r="F521" s="1426"/>
      <c r="K521" s="1490"/>
      <c r="M521" s="1490"/>
    </row>
    <row r="522" spans="6:13" ht="14.25">
      <c r="F522" s="1426"/>
      <c r="K522" s="1490"/>
      <c r="M522" s="1490"/>
    </row>
    <row r="523" spans="6:13" ht="14.25">
      <c r="F523" s="1426"/>
      <c r="K523" s="1490"/>
      <c r="M523" s="1490"/>
    </row>
    <row r="524" spans="6:13" ht="14.25">
      <c r="F524" s="1426"/>
      <c r="K524" s="1490"/>
      <c r="M524" s="1490"/>
    </row>
    <row r="525" spans="6:13" ht="14.25">
      <c r="F525" s="1426"/>
      <c r="K525" s="1490"/>
      <c r="M525" s="1490"/>
    </row>
    <row r="526" spans="6:13" ht="14.25">
      <c r="F526" s="1426"/>
      <c r="K526" s="1490"/>
      <c r="M526" s="1490"/>
    </row>
    <row r="527" spans="6:13" ht="14.25">
      <c r="F527" s="1426"/>
      <c r="K527" s="1490"/>
      <c r="M527" s="1490"/>
    </row>
    <row r="528" spans="6:13" ht="14.25">
      <c r="F528" s="1426"/>
      <c r="K528" s="1490"/>
      <c r="M528" s="1490"/>
    </row>
    <row r="529" spans="6:13" ht="14.25">
      <c r="F529" s="1426"/>
      <c r="K529" s="1490"/>
      <c r="M529" s="1490"/>
    </row>
    <row r="530" spans="6:13" ht="14.25">
      <c r="F530" s="1426"/>
      <c r="K530" s="1490"/>
      <c r="M530" s="1490"/>
    </row>
    <row r="531" spans="6:13" ht="14.25">
      <c r="F531" s="1426"/>
      <c r="K531" s="1490"/>
      <c r="M531" s="1490"/>
    </row>
    <row r="532" spans="6:13" ht="14.25">
      <c r="F532" s="1426"/>
      <c r="K532" s="1490"/>
      <c r="M532" s="1490"/>
    </row>
    <row r="533" spans="6:13" ht="14.25">
      <c r="F533" s="1426"/>
      <c r="K533" s="1490"/>
      <c r="M533" s="1490"/>
    </row>
    <row r="534" spans="6:13" ht="14.25">
      <c r="F534" s="1426"/>
      <c r="K534" s="1490"/>
      <c r="M534" s="1490"/>
    </row>
    <row r="535" spans="6:13" ht="14.25">
      <c r="F535" s="1426"/>
      <c r="K535" s="1490"/>
      <c r="M535" s="1490"/>
    </row>
    <row r="536" spans="6:13" ht="14.25">
      <c r="F536" s="1426"/>
      <c r="K536" s="1490"/>
      <c r="M536" s="1490"/>
    </row>
    <row r="537" spans="6:13" ht="14.25">
      <c r="F537" s="1426"/>
      <c r="K537" s="1490"/>
      <c r="M537" s="1490"/>
    </row>
    <row r="538" spans="6:13" ht="14.25">
      <c r="F538" s="1426"/>
      <c r="K538" s="1490"/>
      <c r="M538" s="1490"/>
    </row>
    <row r="539" spans="6:13" ht="14.25">
      <c r="F539" s="1426"/>
      <c r="K539" s="1490"/>
      <c r="M539" s="1490"/>
    </row>
    <row r="540" spans="6:13" ht="14.25">
      <c r="F540" s="1426"/>
      <c r="K540" s="1490"/>
      <c r="M540" s="1490"/>
    </row>
    <row r="541" spans="6:13" ht="14.25">
      <c r="F541" s="1426"/>
      <c r="K541" s="1490"/>
      <c r="M541" s="1490"/>
    </row>
    <row r="542" spans="6:13" ht="14.25">
      <c r="F542" s="1426"/>
      <c r="K542" s="1490"/>
      <c r="M542" s="1490"/>
    </row>
    <row r="543" spans="6:13" ht="14.25">
      <c r="F543" s="1426"/>
      <c r="K543" s="1490"/>
      <c r="M543" s="1490"/>
    </row>
    <row r="544" spans="6:13" ht="14.25">
      <c r="F544" s="1426"/>
      <c r="K544" s="1490"/>
      <c r="M544" s="1490"/>
    </row>
    <row r="545" spans="6:13" ht="14.25">
      <c r="F545" s="1426"/>
      <c r="K545" s="1490"/>
      <c r="M545" s="1490"/>
    </row>
    <row r="546" spans="6:13" ht="14.25">
      <c r="F546" s="1426"/>
      <c r="K546" s="1490"/>
      <c r="M546" s="1490"/>
    </row>
    <row r="547" spans="6:13" ht="14.25">
      <c r="F547" s="1426"/>
      <c r="K547" s="1490"/>
      <c r="M547" s="1490"/>
    </row>
    <row r="548" spans="6:13" ht="14.25">
      <c r="F548" s="1426"/>
      <c r="K548" s="1490"/>
      <c r="M548" s="1490"/>
    </row>
    <row r="549" spans="6:13" ht="14.25">
      <c r="F549" s="1426"/>
      <c r="K549" s="1490"/>
      <c r="M549" s="1490"/>
    </row>
    <row r="550" spans="6:13" ht="14.25">
      <c r="F550" s="1426"/>
      <c r="K550" s="1490"/>
      <c r="M550" s="1490"/>
    </row>
    <row r="551" spans="6:13" ht="14.25">
      <c r="F551" s="1426"/>
      <c r="K551" s="1490"/>
      <c r="M551" s="1490"/>
    </row>
    <row r="552" spans="6:13" ht="14.25">
      <c r="F552" s="1426"/>
      <c r="K552" s="1490"/>
      <c r="M552" s="1490"/>
    </row>
    <row r="553" spans="6:13" ht="14.25">
      <c r="F553" s="1426"/>
      <c r="K553" s="1490"/>
      <c r="M553" s="1490"/>
    </row>
    <row r="554" spans="6:13" ht="14.25">
      <c r="F554" s="1426"/>
      <c r="K554" s="1490"/>
      <c r="M554" s="1490"/>
    </row>
    <row r="555" spans="6:13" ht="14.25">
      <c r="F555" s="1426"/>
      <c r="K555" s="1490"/>
      <c r="M555" s="1490"/>
    </row>
    <row r="556" spans="6:13" ht="14.25">
      <c r="F556" s="1426"/>
      <c r="K556" s="1490"/>
      <c r="M556" s="1490"/>
    </row>
    <row r="557" spans="6:13" ht="14.25">
      <c r="F557" s="1426"/>
      <c r="K557" s="1490"/>
      <c r="M557" s="1490"/>
    </row>
    <row r="558" spans="6:13" ht="14.25">
      <c r="F558" s="1426"/>
      <c r="K558" s="1490"/>
      <c r="M558" s="1490"/>
    </row>
    <row r="559" spans="6:13" ht="14.25">
      <c r="F559" s="1426"/>
      <c r="K559" s="1490"/>
      <c r="M559" s="1490"/>
    </row>
    <row r="560" spans="6:13" ht="14.25">
      <c r="F560" s="1426"/>
      <c r="K560" s="1490"/>
      <c r="M560" s="1490"/>
    </row>
    <row r="561" spans="6:13" ht="14.25">
      <c r="F561" s="1426"/>
      <c r="K561" s="1490"/>
      <c r="M561" s="1490"/>
    </row>
    <row r="562" spans="6:13" ht="14.25">
      <c r="F562" s="1426"/>
      <c r="K562" s="1490"/>
      <c r="M562" s="1490"/>
    </row>
    <row r="563" spans="6:13" ht="14.25">
      <c r="F563" s="1426"/>
      <c r="K563" s="1490"/>
      <c r="M563" s="1490"/>
    </row>
    <row r="564" spans="6:13" ht="14.25">
      <c r="F564" s="1426"/>
      <c r="K564" s="1490"/>
      <c r="M564" s="1490"/>
    </row>
    <row r="565" spans="6:13" ht="14.25">
      <c r="F565" s="1426"/>
      <c r="K565" s="1490"/>
      <c r="M565" s="1490"/>
    </row>
    <row r="566" spans="6:13" ht="14.25">
      <c r="F566" s="1426"/>
      <c r="K566" s="1490"/>
      <c r="M566" s="1490"/>
    </row>
    <row r="567" spans="6:13" ht="14.25">
      <c r="F567" s="1426"/>
      <c r="K567" s="1490"/>
      <c r="M567" s="1490"/>
    </row>
    <row r="568" spans="6:13" ht="14.25">
      <c r="F568" s="1426"/>
      <c r="K568" s="1490"/>
      <c r="M568" s="1490"/>
    </row>
    <row r="569" spans="6:13" ht="14.25">
      <c r="F569" s="1426"/>
      <c r="K569" s="1490"/>
      <c r="M569" s="1490"/>
    </row>
    <row r="570" spans="6:13" ht="14.25">
      <c r="F570" s="1426"/>
      <c r="K570" s="1490"/>
      <c r="M570" s="1490"/>
    </row>
    <row r="571" spans="6:13" ht="14.25">
      <c r="F571" s="1426"/>
      <c r="K571" s="1490"/>
      <c r="M571" s="1490"/>
    </row>
    <row r="572" spans="6:13" ht="14.25">
      <c r="F572" s="1426"/>
      <c r="K572" s="1490"/>
      <c r="M572" s="1490"/>
    </row>
    <row r="573" spans="6:13" ht="14.25">
      <c r="F573" s="1426"/>
      <c r="K573" s="1490"/>
      <c r="M573" s="1490"/>
    </row>
    <row r="574" spans="6:13" ht="14.25">
      <c r="F574" s="1426"/>
      <c r="K574" s="1490"/>
      <c r="M574" s="1490"/>
    </row>
    <row r="575" spans="6:13" ht="14.25">
      <c r="F575" s="1426"/>
      <c r="K575" s="1490"/>
      <c r="M575" s="1490"/>
    </row>
    <row r="576" spans="6:13" ht="14.25">
      <c r="F576" s="1426"/>
      <c r="K576" s="1490"/>
      <c r="M576" s="1490"/>
    </row>
    <row r="577" spans="6:13" ht="14.25">
      <c r="F577" s="1426"/>
      <c r="K577" s="1490"/>
      <c r="M577" s="1490"/>
    </row>
    <row r="578" spans="6:13" ht="14.25">
      <c r="F578" s="1426"/>
      <c r="K578" s="1490"/>
      <c r="M578" s="1490"/>
    </row>
    <row r="579" spans="6:13" ht="14.25">
      <c r="F579" s="1426"/>
      <c r="K579" s="1490"/>
      <c r="M579" s="1490"/>
    </row>
    <row r="580" spans="6:13" ht="14.25">
      <c r="F580" s="1426"/>
      <c r="K580" s="1490"/>
      <c r="M580" s="1490"/>
    </row>
    <row r="581" spans="6:13" ht="14.25">
      <c r="F581" s="1426"/>
      <c r="K581" s="1490"/>
      <c r="M581" s="1490"/>
    </row>
    <row r="582" spans="6:13" ht="14.25">
      <c r="F582" s="1426"/>
      <c r="K582" s="1490"/>
      <c r="M582" s="1490"/>
    </row>
    <row r="583" spans="6:13" ht="14.25">
      <c r="F583" s="1426"/>
      <c r="K583" s="1490"/>
      <c r="M583" s="1490"/>
    </row>
    <row r="584" spans="6:13" ht="14.25">
      <c r="F584" s="1426"/>
      <c r="K584" s="1490"/>
      <c r="M584" s="1490"/>
    </row>
    <row r="585" spans="6:13" ht="14.25">
      <c r="F585" s="1426"/>
      <c r="K585" s="1490"/>
      <c r="M585" s="1490"/>
    </row>
    <row r="586" spans="6:13" ht="14.25">
      <c r="F586" s="1426"/>
      <c r="K586" s="1490"/>
      <c r="M586" s="1490"/>
    </row>
    <row r="587" spans="6:13" ht="14.25">
      <c r="F587" s="1426"/>
      <c r="K587" s="1490"/>
      <c r="M587" s="1490"/>
    </row>
    <row r="588" spans="6:13" ht="14.25">
      <c r="F588" s="1426"/>
      <c r="K588" s="1490"/>
      <c r="M588" s="1490"/>
    </row>
    <row r="589" spans="6:13" ht="14.25">
      <c r="F589" s="1426"/>
      <c r="K589" s="1490"/>
      <c r="M589" s="1490"/>
    </row>
    <row r="590" spans="6:13" ht="14.25">
      <c r="F590" s="1426"/>
      <c r="K590" s="1490"/>
      <c r="M590" s="1490"/>
    </row>
    <row r="591" spans="6:13" ht="14.25">
      <c r="F591" s="1426"/>
      <c r="K591" s="1490"/>
      <c r="M591" s="1490"/>
    </row>
    <row r="592" spans="6:13" ht="14.25">
      <c r="F592" s="1426"/>
      <c r="K592" s="1490"/>
      <c r="M592" s="1490"/>
    </row>
    <row r="593" spans="6:13" ht="14.25">
      <c r="F593" s="1426"/>
      <c r="K593" s="1490"/>
      <c r="M593" s="1490"/>
    </row>
    <row r="594" spans="6:13" ht="14.25">
      <c r="F594" s="1426"/>
      <c r="K594" s="1490"/>
      <c r="M594" s="1490"/>
    </row>
    <row r="595" spans="6:13" ht="14.25">
      <c r="F595" s="1426"/>
      <c r="K595" s="1490"/>
      <c r="M595" s="1490"/>
    </row>
    <row r="596" spans="6:13" ht="14.25">
      <c r="F596" s="1426"/>
      <c r="K596" s="1490"/>
      <c r="M596" s="1490"/>
    </row>
    <row r="597" spans="6:13" ht="14.25">
      <c r="F597" s="1426"/>
      <c r="K597" s="1490"/>
      <c r="M597" s="1490"/>
    </row>
    <row r="598" spans="6:13" ht="14.25">
      <c r="F598" s="1426"/>
      <c r="K598" s="1490"/>
      <c r="M598" s="1490"/>
    </row>
    <row r="599" spans="6:13" ht="14.25">
      <c r="F599" s="1426"/>
      <c r="K599" s="1490"/>
      <c r="M599" s="1490"/>
    </row>
    <row r="600" spans="6:13" ht="14.25">
      <c r="F600" s="1426"/>
      <c r="K600" s="1490"/>
      <c r="M600" s="1490"/>
    </row>
    <row r="601" spans="6:13" ht="14.25">
      <c r="F601" s="1426"/>
      <c r="K601" s="1490"/>
      <c r="M601" s="1490"/>
    </row>
    <row r="602" spans="6:13" ht="14.25">
      <c r="F602" s="1426"/>
      <c r="K602" s="1490"/>
      <c r="M602" s="1490"/>
    </row>
    <row r="603" spans="6:13" ht="14.25">
      <c r="F603" s="1426"/>
      <c r="K603" s="1490"/>
      <c r="M603" s="1490"/>
    </row>
    <row r="604" spans="6:13" ht="14.25">
      <c r="F604" s="1426"/>
      <c r="K604" s="1490"/>
      <c r="M604" s="1490"/>
    </row>
    <row r="605" spans="6:13" ht="14.25">
      <c r="F605" s="1426"/>
      <c r="K605" s="1490"/>
      <c r="M605" s="1490"/>
    </row>
    <row r="606" spans="6:13" ht="14.25">
      <c r="F606" s="1426"/>
      <c r="K606" s="1490"/>
      <c r="M606" s="1490"/>
    </row>
    <row r="607" spans="6:13" ht="14.25">
      <c r="F607" s="1426"/>
      <c r="K607" s="1490"/>
      <c r="M607" s="1490"/>
    </row>
    <row r="608" spans="6:13" ht="14.25">
      <c r="F608" s="1426"/>
      <c r="K608" s="1490"/>
      <c r="M608" s="1490"/>
    </row>
    <row r="609" spans="6:13" ht="14.25">
      <c r="F609" s="1426"/>
      <c r="K609" s="1490"/>
      <c r="M609" s="1490"/>
    </row>
    <row r="610" spans="6:13" ht="14.25">
      <c r="F610" s="1426"/>
      <c r="K610" s="1490"/>
      <c r="M610" s="1490"/>
    </row>
    <row r="611" spans="6:13" ht="14.25">
      <c r="F611" s="1426"/>
      <c r="K611" s="1490"/>
      <c r="M611" s="1490"/>
    </row>
    <row r="612" spans="6:13" ht="14.25">
      <c r="F612" s="1426"/>
      <c r="K612" s="1490"/>
      <c r="M612" s="1490"/>
    </row>
    <row r="613" spans="6:13" ht="14.25">
      <c r="F613" s="1426"/>
      <c r="K613" s="1490"/>
      <c r="M613" s="1490"/>
    </row>
    <row r="614" spans="6:13" ht="14.25">
      <c r="F614" s="1426"/>
      <c r="K614" s="1490"/>
      <c r="M614" s="1490"/>
    </row>
    <row r="615" spans="6:13" ht="14.25">
      <c r="F615" s="1426"/>
      <c r="K615" s="1490"/>
      <c r="M615" s="1490"/>
    </row>
    <row r="616" spans="6:13" ht="14.25">
      <c r="F616" s="1426"/>
      <c r="K616" s="1490"/>
      <c r="M616" s="1490"/>
    </row>
    <row r="617" spans="6:13" ht="14.25">
      <c r="F617" s="1426"/>
      <c r="K617" s="1490"/>
      <c r="M617" s="1490"/>
    </row>
    <row r="618" spans="6:13" ht="14.25">
      <c r="F618" s="1426"/>
      <c r="K618" s="1490"/>
      <c r="M618" s="1490"/>
    </row>
    <row r="619" spans="6:13" ht="14.25">
      <c r="F619" s="1426"/>
      <c r="K619" s="1490"/>
      <c r="M619" s="1490"/>
    </row>
    <row r="620" spans="6:13" ht="14.25">
      <c r="F620" s="1426"/>
      <c r="K620" s="1490"/>
      <c r="M620" s="1490"/>
    </row>
    <row r="621" spans="6:13" ht="14.25">
      <c r="F621" s="1426"/>
      <c r="K621" s="1490"/>
      <c r="M621" s="1490"/>
    </row>
    <row r="622" spans="6:13" ht="14.25">
      <c r="F622" s="1426"/>
      <c r="K622" s="1490"/>
      <c r="M622" s="1490"/>
    </row>
    <row r="623" spans="6:13" ht="14.25">
      <c r="F623" s="1426"/>
      <c r="K623" s="1490"/>
      <c r="M623" s="1490"/>
    </row>
    <row r="624" spans="6:13" ht="14.25">
      <c r="F624" s="1426"/>
      <c r="K624" s="1490"/>
      <c r="M624" s="1490"/>
    </row>
    <row r="625" spans="6:13" ht="14.25">
      <c r="F625" s="1426"/>
      <c r="K625" s="1490"/>
      <c r="M625" s="1490"/>
    </row>
    <row r="626" spans="6:13" ht="14.25">
      <c r="F626" s="1426"/>
      <c r="K626" s="1490"/>
      <c r="M626" s="1490"/>
    </row>
    <row r="627" spans="6:13" ht="14.25">
      <c r="F627" s="1426"/>
      <c r="K627" s="1490"/>
      <c r="M627" s="1490"/>
    </row>
    <row r="628" spans="6:13" ht="14.25">
      <c r="F628" s="1426"/>
      <c r="K628" s="1490"/>
      <c r="M628" s="1490"/>
    </row>
    <row r="629" spans="6:13" ht="14.25">
      <c r="F629" s="1426"/>
      <c r="K629" s="1490"/>
      <c r="M629" s="1490"/>
    </row>
    <row r="630" spans="6:13" ht="14.25">
      <c r="F630" s="1426"/>
      <c r="K630" s="1490"/>
      <c r="M630" s="1490"/>
    </row>
    <row r="631" spans="6:13" ht="14.25">
      <c r="F631" s="1426"/>
      <c r="K631" s="1490"/>
      <c r="M631" s="1490"/>
    </row>
    <row r="632" spans="6:13" ht="14.25">
      <c r="F632" s="1426"/>
      <c r="K632" s="1490"/>
      <c r="M632" s="1490"/>
    </row>
    <row r="633" spans="6:13" ht="14.25">
      <c r="F633" s="1426"/>
      <c r="K633" s="1490"/>
      <c r="M633" s="1490"/>
    </row>
    <row r="634" spans="6:13" ht="14.25">
      <c r="F634" s="1426"/>
      <c r="K634" s="1490"/>
      <c r="M634" s="1490"/>
    </row>
    <row r="635" spans="6:13" ht="14.25">
      <c r="F635" s="1426"/>
      <c r="K635" s="1490"/>
      <c r="M635" s="1490"/>
    </row>
    <row r="636" spans="6:13" ht="14.25">
      <c r="F636" s="1426"/>
      <c r="K636" s="1490"/>
      <c r="M636" s="1490"/>
    </row>
    <row r="637" spans="6:13" ht="14.25">
      <c r="F637" s="1426"/>
      <c r="K637" s="1490"/>
      <c r="M637" s="1490"/>
    </row>
    <row r="638" spans="6:13" ht="14.25">
      <c r="F638" s="1426"/>
      <c r="K638" s="1490"/>
      <c r="M638" s="1490"/>
    </row>
    <row r="639" spans="6:13" ht="14.25">
      <c r="F639" s="1426"/>
      <c r="K639" s="1490"/>
      <c r="M639" s="1490"/>
    </row>
    <row r="640" spans="6:13" ht="14.25">
      <c r="F640" s="1426"/>
      <c r="K640" s="1490"/>
      <c r="M640" s="1490"/>
    </row>
    <row r="641" spans="6:13" ht="14.25">
      <c r="F641" s="1426"/>
      <c r="K641" s="1490"/>
      <c r="M641" s="1490"/>
    </row>
    <row r="642" spans="6:13" ht="14.25">
      <c r="F642" s="1426"/>
      <c r="K642" s="1490"/>
      <c r="M642" s="1490"/>
    </row>
    <row r="643" spans="6:13" ht="14.25">
      <c r="F643" s="1426"/>
      <c r="K643" s="1490"/>
      <c r="M643" s="1490"/>
    </row>
    <row r="644" spans="6:13" ht="14.25">
      <c r="F644" s="1426"/>
      <c r="K644" s="1490"/>
      <c r="M644" s="1490"/>
    </row>
    <row r="645" spans="6:13" ht="14.25">
      <c r="F645" s="1426"/>
      <c r="K645" s="1490"/>
      <c r="M645" s="1490"/>
    </row>
    <row r="646" spans="6:13" ht="14.25">
      <c r="F646" s="1426"/>
      <c r="K646" s="1490"/>
      <c r="M646" s="1490"/>
    </row>
    <row r="647" spans="6:13" ht="14.25">
      <c r="F647" s="1426"/>
      <c r="K647" s="1490"/>
      <c r="M647" s="1490"/>
    </row>
    <row r="648" spans="6:13" ht="14.25">
      <c r="F648" s="1426"/>
      <c r="K648" s="1490"/>
      <c r="M648" s="1490"/>
    </row>
    <row r="649" spans="6:13" ht="14.25">
      <c r="F649" s="1426"/>
      <c r="K649" s="1490"/>
      <c r="M649" s="1490"/>
    </row>
    <row r="650" spans="6:13" ht="14.25">
      <c r="F650" s="1426"/>
      <c r="K650" s="1490"/>
      <c r="M650" s="1490"/>
    </row>
    <row r="651" spans="6:13" ht="14.25">
      <c r="F651" s="1426"/>
      <c r="K651" s="1490"/>
      <c r="M651" s="1490"/>
    </row>
    <row r="652" spans="6:13" ht="14.25">
      <c r="F652" s="1426"/>
      <c r="K652" s="1490"/>
      <c r="M652" s="1490"/>
    </row>
    <row r="653" spans="6:13" ht="14.25">
      <c r="F653" s="1426"/>
      <c r="K653" s="1490"/>
      <c r="M653" s="1490"/>
    </row>
    <row r="654" spans="6:13" ht="14.25">
      <c r="F654" s="1426"/>
      <c r="K654" s="1490"/>
      <c r="M654" s="1490"/>
    </row>
    <row r="655" spans="6:13" ht="14.25">
      <c r="F655" s="1426"/>
      <c r="K655" s="1490"/>
      <c r="M655" s="1490"/>
    </row>
    <row r="656" spans="6:13" ht="14.25">
      <c r="F656" s="1426"/>
      <c r="K656" s="1490"/>
      <c r="M656" s="1490"/>
    </row>
    <row r="657" spans="6:13" ht="14.25">
      <c r="F657" s="1426"/>
      <c r="K657" s="1490"/>
      <c r="M657" s="1490"/>
    </row>
    <row r="658" spans="6:13" ht="14.25">
      <c r="F658" s="1426"/>
      <c r="K658" s="1490"/>
      <c r="M658" s="1490"/>
    </row>
    <row r="659" spans="6:13" ht="14.25">
      <c r="F659" s="1426"/>
      <c r="K659" s="1490"/>
      <c r="M659" s="1490"/>
    </row>
    <row r="660" spans="6:13" ht="14.25">
      <c r="F660" s="1426"/>
      <c r="K660" s="1490"/>
      <c r="M660" s="1490"/>
    </row>
    <row r="661" spans="6:13" ht="14.25">
      <c r="F661" s="1426"/>
      <c r="K661" s="1490"/>
      <c r="M661" s="1490"/>
    </row>
    <row r="662" spans="6:13" ht="14.25">
      <c r="F662" s="1426"/>
      <c r="K662" s="1490"/>
      <c r="M662" s="1490"/>
    </row>
    <row r="663" spans="6:13" ht="14.25">
      <c r="F663" s="1426"/>
      <c r="K663" s="1490"/>
      <c r="M663" s="1490"/>
    </row>
    <row r="664" spans="6:13" ht="14.25">
      <c r="F664" s="1426"/>
      <c r="K664" s="1490"/>
      <c r="M664" s="1490"/>
    </row>
    <row r="665" spans="6:13" ht="14.25">
      <c r="F665" s="1426"/>
      <c r="K665" s="1490"/>
      <c r="M665" s="1490"/>
    </row>
    <row r="666" spans="6:13" ht="14.25">
      <c r="F666" s="1426"/>
      <c r="K666" s="1490"/>
      <c r="M666" s="1490"/>
    </row>
    <row r="667" spans="6:13" ht="14.25">
      <c r="F667" s="1426"/>
      <c r="K667" s="1490"/>
      <c r="M667" s="1490"/>
    </row>
    <row r="668" spans="6:13" ht="14.25">
      <c r="F668" s="1426"/>
      <c r="K668" s="1490"/>
      <c r="M668" s="1490"/>
    </row>
    <row r="669" spans="6:13" ht="14.25">
      <c r="F669" s="1426"/>
      <c r="K669" s="1490"/>
      <c r="M669" s="1490"/>
    </row>
    <row r="670" spans="6:13" ht="14.25">
      <c r="F670" s="1426"/>
      <c r="K670" s="1490"/>
      <c r="M670" s="1490"/>
    </row>
    <row r="671" spans="6:13" ht="14.25">
      <c r="F671" s="1426"/>
      <c r="K671" s="1490"/>
      <c r="M671" s="1490"/>
    </row>
    <row r="672" spans="6:13" ht="14.25">
      <c r="F672" s="1426"/>
      <c r="K672" s="1490"/>
      <c r="M672" s="1490"/>
    </row>
    <row r="673" spans="6:13" ht="14.25">
      <c r="F673" s="1426"/>
      <c r="K673" s="1490"/>
      <c r="M673" s="1490"/>
    </row>
    <row r="674" spans="6:13" ht="14.25">
      <c r="F674" s="1426"/>
      <c r="K674" s="1490"/>
      <c r="M674" s="1490"/>
    </row>
    <row r="675" spans="6:13" ht="14.25">
      <c r="F675" s="1426"/>
      <c r="K675" s="1490"/>
      <c r="M675" s="1490"/>
    </row>
    <row r="676" spans="6:13" ht="14.25">
      <c r="F676" s="1426"/>
      <c r="K676" s="1490"/>
      <c r="M676" s="1490"/>
    </row>
    <row r="677" spans="6:13" ht="14.25">
      <c r="F677" s="1426"/>
      <c r="K677" s="1490"/>
      <c r="M677" s="1490"/>
    </row>
    <row r="678" spans="6:13" ht="14.25">
      <c r="F678" s="1426"/>
      <c r="K678" s="1490"/>
      <c r="M678" s="1490"/>
    </row>
    <row r="679" spans="6:13" ht="14.25">
      <c r="F679" s="1426"/>
      <c r="K679" s="1490"/>
      <c r="M679" s="1490"/>
    </row>
    <row r="680" spans="6:13" ht="14.25">
      <c r="F680" s="1426"/>
      <c r="K680" s="1490"/>
      <c r="M680" s="1490"/>
    </row>
    <row r="681" spans="6:13" ht="14.25">
      <c r="F681" s="1426"/>
      <c r="K681" s="1490"/>
      <c r="M681" s="1490"/>
    </row>
    <row r="682" spans="6:13" ht="14.25">
      <c r="F682" s="1426"/>
      <c r="K682" s="1490"/>
      <c r="M682" s="1490"/>
    </row>
    <row r="683" spans="6:13" ht="14.25">
      <c r="F683" s="1426"/>
      <c r="K683" s="1490"/>
      <c r="M683" s="1490"/>
    </row>
    <row r="684" spans="6:13" ht="14.25">
      <c r="F684" s="1426"/>
      <c r="K684" s="1490"/>
      <c r="M684" s="1490"/>
    </row>
    <row r="685" spans="6:13" ht="14.25">
      <c r="F685" s="1426"/>
      <c r="K685" s="1490"/>
      <c r="M685" s="1490"/>
    </row>
    <row r="686" spans="6:13" ht="14.25">
      <c r="F686" s="1426"/>
      <c r="K686" s="1490"/>
      <c r="M686" s="1490"/>
    </row>
    <row r="687" spans="6:13" ht="14.25">
      <c r="F687" s="1426"/>
      <c r="K687" s="1490"/>
      <c r="M687" s="1490"/>
    </row>
    <row r="688" spans="6:13" ht="14.25">
      <c r="F688" s="1426"/>
      <c r="K688" s="1490"/>
      <c r="M688" s="1490"/>
    </row>
    <row r="689" spans="6:13" ht="14.25">
      <c r="F689" s="1426"/>
      <c r="K689" s="1490"/>
      <c r="M689" s="1490"/>
    </row>
    <row r="690" spans="6:13" ht="14.25">
      <c r="F690" s="1426"/>
      <c r="K690" s="1490"/>
      <c r="M690" s="1490"/>
    </row>
    <row r="691" spans="6:13" ht="14.25">
      <c r="F691" s="1426"/>
      <c r="K691" s="1490"/>
      <c r="M691" s="1490"/>
    </row>
    <row r="692" spans="6:13" ht="14.25">
      <c r="F692" s="1426"/>
      <c r="K692" s="1490"/>
      <c r="M692" s="1490"/>
    </row>
    <row r="693" spans="6:13" ht="14.25">
      <c r="F693" s="1426"/>
      <c r="K693" s="1490"/>
      <c r="M693" s="1490"/>
    </row>
    <row r="694" spans="6:13" ht="14.25">
      <c r="F694" s="1426"/>
      <c r="K694" s="1490"/>
      <c r="M694" s="1490"/>
    </row>
    <row r="695" spans="6:13" ht="14.25">
      <c r="F695" s="1426"/>
      <c r="K695" s="1490"/>
      <c r="M695" s="1490"/>
    </row>
    <row r="696" spans="6:13" ht="14.25">
      <c r="F696" s="1426"/>
      <c r="K696" s="1490"/>
      <c r="M696" s="1490"/>
    </row>
    <row r="697" spans="6:13" ht="14.25">
      <c r="F697" s="1426"/>
      <c r="K697" s="1490"/>
      <c r="M697" s="1490"/>
    </row>
    <row r="698" spans="6:13" ht="14.25">
      <c r="F698" s="1426"/>
      <c r="K698" s="1490"/>
      <c r="M698" s="1490"/>
    </row>
    <row r="699" spans="6:13" ht="14.25">
      <c r="F699" s="1426"/>
      <c r="K699" s="1490"/>
      <c r="M699" s="1490"/>
    </row>
    <row r="700" spans="6:13" ht="14.25">
      <c r="F700" s="1426"/>
      <c r="K700" s="1490"/>
      <c r="M700" s="1490"/>
    </row>
    <row r="701" spans="6:13" ht="14.25">
      <c r="F701" s="1426"/>
      <c r="K701" s="1490"/>
      <c r="M701" s="1490"/>
    </row>
    <row r="702" spans="6:13" ht="14.25">
      <c r="F702" s="1426"/>
      <c r="K702" s="1490"/>
      <c r="M702" s="1490"/>
    </row>
    <row r="703" spans="6:13" ht="14.25">
      <c r="F703" s="1426"/>
      <c r="K703" s="1490"/>
      <c r="M703" s="1490"/>
    </row>
    <row r="704" spans="6:13" ht="14.25">
      <c r="F704" s="1426"/>
      <c r="K704" s="1490"/>
      <c r="M704" s="1490"/>
    </row>
    <row r="705" spans="6:13" ht="14.25">
      <c r="F705" s="1426"/>
      <c r="K705" s="1490"/>
      <c r="M705" s="1490"/>
    </row>
    <row r="706" spans="6:13" ht="14.25">
      <c r="F706" s="1426"/>
      <c r="K706" s="1490"/>
      <c r="M706" s="1490"/>
    </row>
    <row r="707" spans="6:13" ht="14.25">
      <c r="F707" s="1426"/>
      <c r="K707" s="1490"/>
      <c r="M707" s="1490"/>
    </row>
    <row r="708" spans="6:13" ht="14.25">
      <c r="F708" s="1426"/>
      <c r="K708" s="1490"/>
      <c r="M708" s="1490"/>
    </row>
    <row r="709" spans="6:13" ht="14.25">
      <c r="F709" s="1426"/>
      <c r="K709" s="1490"/>
      <c r="M709" s="1490"/>
    </row>
    <row r="710" spans="6:13" ht="14.25">
      <c r="F710" s="1426"/>
      <c r="K710" s="1490"/>
      <c r="M710" s="1490"/>
    </row>
    <row r="711" spans="6:13" ht="14.25">
      <c r="F711" s="1426"/>
      <c r="K711" s="1490"/>
      <c r="M711" s="1490"/>
    </row>
    <row r="712" spans="6:13" ht="14.25">
      <c r="F712" s="1426"/>
      <c r="K712" s="1490"/>
      <c r="M712" s="1490"/>
    </row>
    <row r="713" spans="6:13" ht="14.25">
      <c r="F713" s="1426"/>
      <c r="K713" s="1490"/>
      <c r="M713" s="1490"/>
    </row>
    <row r="714" spans="6:13" ht="14.25">
      <c r="F714" s="1426"/>
      <c r="K714" s="1490"/>
      <c r="M714" s="1490"/>
    </row>
    <row r="715" spans="6:13" ht="14.25">
      <c r="F715" s="1426"/>
      <c r="K715" s="1490"/>
      <c r="M715" s="1490"/>
    </row>
    <row r="716" spans="6:13" ht="14.25">
      <c r="F716" s="1426"/>
      <c r="K716" s="1490"/>
      <c r="M716" s="1490"/>
    </row>
    <row r="717" spans="6:13" ht="14.25">
      <c r="F717" s="1426"/>
      <c r="K717" s="1490"/>
      <c r="M717" s="1490"/>
    </row>
    <row r="718" spans="6:13" ht="14.25">
      <c r="F718" s="1426"/>
      <c r="K718" s="1490"/>
      <c r="M718" s="1490"/>
    </row>
    <row r="719" spans="6:13" ht="14.25">
      <c r="F719" s="1426"/>
      <c r="K719" s="1490"/>
      <c r="M719" s="1490"/>
    </row>
    <row r="720" spans="6:13" ht="14.25">
      <c r="F720" s="1426"/>
      <c r="K720" s="1490"/>
      <c r="M720" s="1490"/>
    </row>
    <row r="721" spans="6:13" ht="14.25">
      <c r="F721" s="1426"/>
      <c r="K721" s="1490"/>
      <c r="M721" s="1490"/>
    </row>
    <row r="722" spans="6:13" ht="14.25">
      <c r="F722" s="1426"/>
      <c r="K722" s="1490"/>
      <c r="M722" s="1490"/>
    </row>
    <row r="723" spans="6:13" ht="14.25">
      <c r="F723" s="1426"/>
      <c r="K723" s="1490"/>
      <c r="M723" s="1490"/>
    </row>
    <row r="724" spans="6:13" ht="14.25">
      <c r="F724" s="1426"/>
      <c r="K724" s="1490"/>
      <c r="M724" s="1490"/>
    </row>
    <row r="725" spans="6:13" ht="14.25">
      <c r="F725" s="1426"/>
      <c r="K725" s="1490"/>
      <c r="M725" s="1490"/>
    </row>
    <row r="726" spans="6:13" ht="14.25">
      <c r="F726" s="1426"/>
      <c r="K726" s="1490"/>
      <c r="M726" s="1490"/>
    </row>
    <row r="727" spans="6:13" ht="14.25">
      <c r="F727" s="1426"/>
      <c r="K727" s="1490"/>
      <c r="M727" s="1490"/>
    </row>
    <row r="728" spans="6:13" ht="14.25">
      <c r="F728" s="1426"/>
      <c r="K728" s="1490"/>
      <c r="M728" s="1490"/>
    </row>
    <row r="729" spans="6:13" ht="14.25">
      <c r="F729" s="1426"/>
      <c r="K729" s="1490"/>
      <c r="M729" s="1490"/>
    </row>
    <row r="730" spans="6:13" ht="14.25">
      <c r="F730" s="1426"/>
      <c r="K730" s="1490"/>
      <c r="M730" s="1490"/>
    </row>
    <row r="731" spans="6:13" ht="14.25">
      <c r="F731" s="1426"/>
      <c r="K731" s="1490"/>
      <c r="M731" s="1490"/>
    </row>
    <row r="732" spans="6:13" ht="14.25">
      <c r="F732" s="1426"/>
      <c r="K732" s="1490"/>
      <c r="M732" s="1490"/>
    </row>
    <row r="733" spans="6:13" ht="14.25">
      <c r="F733" s="1426"/>
      <c r="K733" s="1490"/>
      <c r="M733" s="1490"/>
    </row>
    <row r="734" spans="6:13" ht="14.25">
      <c r="F734" s="1426"/>
      <c r="K734" s="1490"/>
      <c r="M734" s="1490"/>
    </row>
    <row r="735" spans="6:13" ht="14.25">
      <c r="F735" s="1426"/>
      <c r="K735" s="1490"/>
      <c r="M735" s="1490"/>
    </row>
    <row r="736" spans="6:13" ht="14.25">
      <c r="F736" s="1426"/>
      <c r="K736" s="1490"/>
      <c r="M736" s="1490"/>
    </row>
    <row r="737" spans="6:13" ht="14.25">
      <c r="F737" s="1426"/>
      <c r="K737" s="1490"/>
      <c r="M737" s="1490"/>
    </row>
    <row r="738" spans="6:13" ht="14.25">
      <c r="F738" s="1426"/>
      <c r="K738" s="1490"/>
      <c r="M738" s="1490"/>
    </row>
    <row r="739" spans="6:13" ht="14.25">
      <c r="F739" s="1426"/>
      <c r="K739" s="1490"/>
      <c r="M739" s="1490"/>
    </row>
    <row r="740" spans="6:13" ht="14.25">
      <c r="F740" s="1426"/>
      <c r="K740" s="1490"/>
      <c r="M740" s="1490"/>
    </row>
    <row r="741" spans="6:13" ht="14.25">
      <c r="F741" s="1426"/>
      <c r="K741" s="1490"/>
      <c r="M741" s="1490"/>
    </row>
    <row r="742" spans="6:13" ht="14.25">
      <c r="F742" s="1426"/>
      <c r="K742" s="1490"/>
      <c r="M742" s="1490"/>
    </row>
    <row r="743" spans="6:13" ht="14.25">
      <c r="F743" s="1426"/>
      <c r="K743" s="1490"/>
      <c r="M743" s="1490"/>
    </row>
    <row r="744" spans="6:13" ht="14.25">
      <c r="F744" s="1426"/>
      <c r="K744" s="1490"/>
      <c r="M744" s="1490"/>
    </row>
    <row r="745" spans="6:13" ht="14.25">
      <c r="F745" s="1426"/>
      <c r="K745" s="1490"/>
      <c r="M745" s="1490"/>
    </row>
    <row r="746" spans="6:13" ht="14.25">
      <c r="F746" s="1426"/>
      <c r="K746" s="1490"/>
      <c r="M746" s="1490"/>
    </row>
    <row r="747" spans="6:13" ht="14.25">
      <c r="F747" s="1426"/>
      <c r="K747" s="1490"/>
      <c r="M747" s="1490"/>
    </row>
    <row r="748" spans="6:13" ht="14.25">
      <c r="F748" s="1426"/>
      <c r="K748" s="1490"/>
      <c r="M748" s="1490"/>
    </row>
    <row r="749" spans="6:13" ht="14.25">
      <c r="F749" s="1426"/>
      <c r="K749" s="1490"/>
      <c r="M749" s="1490"/>
    </row>
    <row r="750" spans="6:13" ht="14.25">
      <c r="F750" s="1426"/>
      <c r="K750" s="1490"/>
      <c r="M750" s="1490"/>
    </row>
    <row r="751" spans="6:13" ht="14.25">
      <c r="F751" s="1426"/>
      <c r="K751" s="1490"/>
      <c r="M751" s="1490"/>
    </row>
    <row r="752" spans="6:13" ht="14.25">
      <c r="F752" s="1426"/>
      <c r="K752" s="1490"/>
      <c r="M752" s="1490"/>
    </row>
    <row r="753" spans="6:13" ht="14.25">
      <c r="F753" s="1426"/>
      <c r="K753" s="1490"/>
      <c r="M753" s="1490"/>
    </row>
    <row r="754" spans="6:13" ht="14.25">
      <c r="F754" s="1426"/>
      <c r="K754" s="1490"/>
      <c r="M754" s="1490"/>
    </row>
    <row r="755" spans="6:13" ht="14.25">
      <c r="F755" s="1426"/>
      <c r="K755" s="1490"/>
      <c r="M755" s="1490"/>
    </row>
    <row r="756" spans="6:13" ht="14.25">
      <c r="F756" s="1426"/>
      <c r="K756" s="1490"/>
      <c r="M756" s="1490"/>
    </row>
    <row r="757" spans="6:13" ht="14.25">
      <c r="F757" s="1426"/>
      <c r="K757" s="1490"/>
      <c r="M757" s="1490"/>
    </row>
    <row r="758" spans="6:13" ht="14.25">
      <c r="F758" s="1426"/>
      <c r="K758" s="1490"/>
      <c r="M758" s="1490"/>
    </row>
    <row r="759" spans="6:13" ht="14.25">
      <c r="F759" s="1426"/>
      <c r="K759" s="1490"/>
      <c r="M759" s="1490"/>
    </row>
    <row r="760" spans="6:13" ht="14.25">
      <c r="F760" s="1426"/>
      <c r="K760" s="1490"/>
      <c r="M760" s="1490"/>
    </row>
    <row r="761" spans="6:13" ht="14.25">
      <c r="F761" s="1426"/>
      <c r="K761" s="1490"/>
      <c r="M761" s="1490"/>
    </row>
    <row r="762" spans="6:13" ht="14.25">
      <c r="F762" s="1426"/>
      <c r="K762" s="1490"/>
      <c r="M762" s="1490"/>
    </row>
    <row r="763" spans="6:13" ht="14.25">
      <c r="F763" s="1426"/>
      <c r="K763" s="1490"/>
      <c r="M763" s="1490"/>
    </row>
    <row r="764" spans="6:13" ht="14.25">
      <c r="F764" s="1426"/>
      <c r="K764" s="1490"/>
      <c r="M764" s="1490"/>
    </row>
    <row r="765" spans="6:13" ht="14.25">
      <c r="F765" s="1426"/>
      <c r="K765" s="1490"/>
      <c r="M765" s="1490"/>
    </row>
    <row r="766" spans="6:13" ht="14.25">
      <c r="F766" s="1426"/>
      <c r="K766" s="1490"/>
      <c r="M766" s="1490"/>
    </row>
    <row r="767" spans="6:13" ht="14.25">
      <c r="F767" s="1426"/>
      <c r="K767" s="1490"/>
      <c r="M767" s="1490"/>
    </row>
    <row r="768" spans="6:13" ht="14.25">
      <c r="F768" s="1426"/>
      <c r="K768" s="1490"/>
      <c r="M768" s="1490"/>
    </row>
    <row r="769" spans="6:13" ht="14.25">
      <c r="F769" s="1426"/>
      <c r="K769" s="1490"/>
      <c r="M769" s="1490"/>
    </row>
    <row r="770" spans="6:13" ht="14.25">
      <c r="F770" s="1426"/>
      <c r="K770" s="1490"/>
      <c r="M770" s="1490"/>
    </row>
    <row r="771" spans="6:13" ht="14.25">
      <c r="F771" s="1426"/>
      <c r="K771" s="1490"/>
      <c r="M771" s="1490"/>
    </row>
    <row r="772" spans="6:13" ht="14.25">
      <c r="F772" s="1426"/>
      <c r="K772" s="1490"/>
      <c r="M772" s="1490"/>
    </row>
    <row r="773" spans="6:13" ht="14.25">
      <c r="F773" s="1426"/>
      <c r="K773" s="1490"/>
      <c r="M773" s="1490"/>
    </row>
    <row r="774" spans="6:13" ht="14.25">
      <c r="F774" s="1426"/>
      <c r="K774" s="1490"/>
      <c r="M774" s="1490"/>
    </row>
    <row r="775" spans="6:13" ht="14.25">
      <c r="F775" s="1426"/>
      <c r="K775" s="1490"/>
      <c r="M775" s="1490"/>
    </row>
    <row r="776" spans="6:13" ht="14.25">
      <c r="F776" s="1426"/>
      <c r="K776" s="1490"/>
      <c r="M776" s="1490"/>
    </row>
    <row r="777" spans="6:13" ht="14.25">
      <c r="F777" s="1426"/>
      <c r="K777" s="1490"/>
      <c r="M777" s="1490"/>
    </row>
    <row r="778" spans="6:13" ht="14.25">
      <c r="F778" s="1426"/>
      <c r="K778" s="1490"/>
      <c r="M778" s="1490"/>
    </row>
    <row r="779" spans="6:13" ht="14.25">
      <c r="F779" s="1426"/>
      <c r="K779" s="1490"/>
      <c r="M779" s="1490"/>
    </row>
    <row r="780" spans="6:13" ht="14.25">
      <c r="F780" s="1426"/>
      <c r="K780" s="1490"/>
      <c r="M780" s="1490"/>
    </row>
    <row r="781" spans="6:13" ht="14.25">
      <c r="F781" s="1426"/>
      <c r="K781" s="1490"/>
      <c r="M781" s="1490"/>
    </row>
    <row r="782" spans="6:13" ht="14.25">
      <c r="F782" s="1426"/>
      <c r="K782" s="1490"/>
      <c r="M782" s="1490"/>
    </row>
    <row r="783" spans="6:13" ht="14.25">
      <c r="F783" s="1426"/>
      <c r="K783" s="1490"/>
      <c r="M783" s="1490"/>
    </row>
    <row r="784" spans="6:13" ht="14.25">
      <c r="F784" s="1426"/>
      <c r="K784" s="1490"/>
      <c r="M784" s="1490"/>
    </row>
    <row r="785" spans="6:13" ht="14.25">
      <c r="F785" s="1426"/>
      <c r="K785" s="1490"/>
      <c r="M785" s="1490"/>
    </row>
    <row r="786" spans="6:13" ht="14.25">
      <c r="F786" s="1426"/>
      <c r="K786" s="1490"/>
      <c r="M786" s="1490"/>
    </row>
    <row r="787" spans="6:13" ht="14.25">
      <c r="F787" s="1426"/>
      <c r="K787" s="1490"/>
      <c r="M787" s="1490"/>
    </row>
    <row r="788" spans="6:13" ht="14.25">
      <c r="F788" s="1426"/>
      <c r="K788" s="1490"/>
      <c r="M788" s="1490"/>
    </row>
    <row r="789" spans="6:13" ht="14.25">
      <c r="F789" s="1426"/>
      <c r="K789" s="1490"/>
      <c r="M789" s="1490"/>
    </row>
    <row r="790" spans="6:13" ht="14.25">
      <c r="F790" s="1426"/>
      <c r="K790" s="1490"/>
      <c r="M790" s="1490"/>
    </row>
    <row r="791" spans="6:13" ht="14.25">
      <c r="F791" s="1426"/>
      <c r="K791" s="1490"/>
      <c r="M791" s="1490"/>
    </row>
    <row r="792" spans="6:13" ht="14.25">
      <c r="F792" s="1426"/>
      <c r="K792" s="1490"/>
      <c r="M792" s="1490"/>
    </row>
    <row r="793" spans="6:13" ht="14.25">
      <c r="F793" s="1426"/>
      <c r="K793" s="1490"/>
      <c r="M793" s="1490"/>
    </row>
    <row r="794" spans="6:13" ht="14.25">
      <c r="F794" s="1426"/>
      <c r="K794" s="1490"/>
      <c r="M794" s="1490"/>
    </row>
    <row r="795" spans="6:13" ht="14.25">
      <c r="F795" s="1426"/>
      <c r="K795" s="1490"/>
      <c r="M795" s="1490"/>
    </row>
    <row r="796" spans="6:13" ht="14.25">
      <c r="F796" s="1426"/>
      <c r="K796" s="1490"/>
      <c r="M796" s="1490"/>
    </row>
    <row r="797" spans="6:13" ht="14.25">
      <c r="F797" s="1426"/>
      <c r="K797" s="1490"/>
      <c r="M797" s="1490"/>
    </row>
    <row r="798" spans="6:13" ht="14.25">
      <c r="F798" s="1426"/>
      <c r="K798" s="1490"/>
      <c r="M798" s="1490"/>
    </row>
    <row r="799" spans="6:13" ht="14.25">
      <c r="F799" s="1426"/>
      <c r="K799" s="1490"/>
      <c r="M799" s="1490"/>
    </row>
    <row r="800" spans="6:13" ht="14.25">
      <c r="F800" s="1426"/>
      <c r="K800" s="1490"/>
      <c r="M800" s="1490"/>
    </row>
    <row r="801" spans="6:13" ht="14.25">
      <c r="F801" s="1426"/>
      <c r="K801" s="1490"/>
      <c r="M801" s="1490"/>
    </row>
    <row r="802" spans="6:13" ht="14.25">
      <c r="F802" s="1426"/>
      <c r="K802" s="1490"/>
      <c r="M802" s="1490"/>
    </row>
    <row r="803" spans="6:13" ht="14.25">
      <c r="F803" s="1426"/>
      <c r="K803" s="1490"/>
      <c r="M803" s="1490"/>
    </row>
    <row r="804" spans="6:13" ht="14.25">
      <c r="F804" s="1426"/>
      <c r="K804" s="1490"/>
      <c r="M804" s="1490"/>
    </row>
    <row r="805" spans="6:13" ht="14.25">
      <c r="F805" s="1426"/>
      <c r="K805" s="1490"/>
      <c r="M805" s="1490"/>
    </row>
    <row r="806" spans="6:13" ht="14.25">
      <c r="F806" s="1426"/>
      <c r="K806" s="1490"/>
      <c r="M806" s="1490"/>
    </row>
    <row r="807" spans="6:13" ht="14.25">
      <c r="F807" s="1426"/>
      <c r="K807" s="1490"/>
      <c r="M807" s="1490"/>
    </row>
    <row r="808" spans="6:13" ht="14.25">
      <c r="F808" s="1426"/>
      <c r="K808" s="1490"/>
      <c r="M808" s="1490"/>
    </row>
    <row r="809" spans="6:13" ht="14.25">
      <c r="F809" s="1426"/>
      <c r="K809" s="1490"/>
      <c r="M809" s="1490"/>
    </row>
    <row r="810" spans="6:13" ht="14.25">
      <c r="F810" s="1426"/>
      <c r="K810" s="1490"/>
      <c r="M810" s="1490"/>
    </row>
    <row r="811" spans="6:13" ht="14.25">
      <c r="F811" s="1426"/>
      <c r="K811" s="1490"/>
      <c r="M811" s="1490"/>
    </row>
    <row r="812" spans="6:13" ht="14.25">
      <c r="F812" s="1426"/>
      <c r="K812" s="1490"/>
      <c r="M812" s="1490"/>
    </row>
    <row r="813" spans="6:13" ht="14.25">
      <c r="F813" s="1426"/>
      <c r="K813" s="1490"/>
      <c r="M813" s="1490"/>
    </row>
    <row r="814" spans="6:13" ht="14.25">
      <c r="F814" s="1426"/>
      <c r="K814" s="1490"/>
      <c r="M814" s="1490"/>
    </row>
    <row r="815" spans="6:13" ht="14.25">
      <c r="F815" s="1426"/>
      <c r="K815" s="1490"/>
      <c r="M815" s="1490"/>
    </row>
    <row r="816" spans="6:13" ht="14.25">
      <c r="F816" s="1426"/>
      <c r="K816" s="1490"/>
      <c r="M816" s="1490"/>
    </row>
    <row r="817" spans="6:13" ht="14.25">
      <c r="F817" s="1426"/>
      <c r="K817" s="1490"/>
      <c r="M817" s="1490"/>
    </row>
    <row r="818" spans="6:13" ht="14.25">
      <c r="F818" s="1426"/>
      <c r="K818" s="1490"/>
      <c r="M818" s="1490"/>
    </row>
    <row r="819" spans="6:13" ht="14.25">
      <c r="F819" s="1426"/>
      <c r="K819" s="1490"/>
      <c r="M819" s="1490"/>
    </row>
    <row r="820" spans="6:13" ht="14.25">
      <c r="F820" s="1426"/>
      <c r="K820" s="1490"/>
      <c r="M820" s="1490"/>
    </row>
    <row r="821" spans="6:13" ht="14.25">
      <c r="F821" s="1426"/>
      <c r="K821" s="1490"/>
      <c r="M821" s="1490"/>
    </row>
    <row r="822" spans="6:13" ht="14.25">
      <c r="F822" s="1426"/>
      <c r="K822" s="1490"/>
      <c r="M822" s="1490"/>
    </row>
    <row r="823" spans="6:13" ht="14.25">
      <c r="F823" s="1426"/>
      <c r="K823" s="1490"/>
      <c r="M823" s="1490"/>
    </row>
    <row r="824" spans="6:13" ht="14.25">
      <c r="F824" s="1426"/>
      <c r="K824" s="1490"/>
      <c r="M824" s="1490"/>
    </row>
    <row r="825" spans="6:13" ht="14.25">
      <c r="F825" s="1426"/>
      <c r="K825" s="1490"/>
      <c r="M825" s="1490"/>
    </row>
    <row r="826" spans="6:13" ht="14.25">
      <c r="F826" s="1426"/>
      <c r="K826" s="1490"/>
      <c r="M826" s="1490"/>
    </row>
    <row r="827" spans="6:13" ht="14.25">
      <c r="F827" s="1426"/>
      <c r="K827" s="1490"/>
      <c r="M827" s="1490"/>
    </row>
    <row r="828" spans="6:13" ht="14.25">
      <c r="F828" s="1426"/>
      <c r="K828" s="1490"/>
      <c r="M828" s="1490"/>
    </row>
    <row r="829" spans="6:13" ht="14.25">
      <c r="F829" s="1426"/>
      <c r="K829" s="1490"/>
      <c r="M829" s="1490"/>
    </row>
    <row r="830" spans="6:13" ht="14.25">
      <c r="F830" s="1426"/>
      <c r="K830" s="1490"/>
      <c r="M830" s="1490"/>
    </row>
    <row r="831" spans="6:13" ht="14.25">
      <c r="F831" s="1426"/>
      <c r="K831" s="1490"/>
      <c r="M831" s="1490"/>
    </row>
    <row r="832" spans="6:13" ht="14.25">
      <c r="F832" s="1426"/>
      <c r="K832" s="1490"/>
      <c r="M832" s="1490"/>
    </row>
    <row r="833" spans="6:13" ht="14.25">
      <c r="F833" s="1426"/>
      <c r="K833" s="1490"/>
      <c r="M833" s="1490"/>
    </row>
    <row r="834" spans="6:13" ht="14.25">
      <c r="F834" s="1426"/>
      <c r="K834" s="1490"/>
      <c r="M834" s="1490"/>
    </row>
    <row r="835" spans="6:13" ht="14.25">
      <c r="F835" s="1426"/>
      <c r="K835" s="1490"/>
      <c r="M835" s="1490"/>
    </row>
    <row r="836" spans="6:13" ht="14.25">
      <c r="F836" s="1426"/>
      <c r="K836" s="1490"/>
      <c r="M836" s="1490"/>
    </row>
    <row r="837" spans="6:13" ht="14.25">
      <c r="F837" s="1426"/>
      <c r="K837" s="1490"/>
      <c r="M837" s="1490"/>
    </row>
    <row r="838" spans="6:13" ht="14.25">
      <c r="F838" s="1426"/>
      <c r="K838" s="1490"/>
      <c r="M838" s="1490"/>
    </row>
    <row r="839" spans="6:13" ht="14.25">
      <c r="F839" s="1426"/>
      <c r="K839" s="1490"/>
      <c r="M839" s="1490"/>
    </row>
    <row r="840" spans="6:13" ht="14.25">
      <c r="F840" s="1426"/>
      <c r="K840" s="1490"/>
      <c r="M840" s="1490"/>
    </row>
    <row r="841" spans="6:13" ht="14.25">
      <c r="F841" s="1426"/>
      <c r="K841" s="1490"/>
      <c r="M841" s="1490"/>
    </row>
    <row r="842" spans="6:13" ht="14.25">
      <c r="F842" s="1426"/>
      <c r="K842" s="1490"/>
      <c r="M842" s="1490"/>
    </row>
    <row r="843" spans="6:13" ht="14.25">
      <c r="F843" s="1426"/>
      <c r="K843" s="1490"/>
      <c r="M843" s="1490"/>
    </row>
    <row r="844" spans="6:13" ht="14.25">
      <c r="F844" s="1426"/>
      <c r="K844" s="1490"/>
      <c r="M844" s="1490"/>
    </row>
    <row r="845" spans="6:13" ht="14.25">
      <c r="F845" s="1426"/>
      <c r="K845" s="1490"/>
      <c r="M845" s="1490"/>
    </row>
    <row r="846" spans="6:13" ht="14.25">
      <c r="F846" s="1426"/>
      <c r="K846" s="1490"/>
      <c r="M846" s="1490"/>
    </row>
    <row r="847" spans="6:13" ht="14.25">
      <c r="F847" s="1426"/>
      <c r="K847" s="1490"/>
      <c r="M847" s="1490"/>
    </row>
    <row r="848" spans="6:13" ht="14.25">
      <c r="F848" s="1426"/>
      <c r="K848" s="1490"/>
      <c r="M848" s="1490"/>
    </row>
    <row r="849" spans="6:13" ht="14.25">
      <c r="F849" s="1426"/>
      <c r="K849" s="1490"/>
      <c r="M849" s="1490"/>
    </row>
    <row r="850" spans="6:13" ht="14.25">
      <c r="F850" s="1426"/>
      <c r="K850" s="1490"/>
      <c r="M850" s="1490"/>
    </row>
    <row r="851" spans="6:13" ht="14.25">
      <c r="F851" s="1426"/>
      <c r="K851" s="1490"/>
      <c r="M851" s="1490"/>
    </row>
    <row r="852" spans="6:13" ht="14.25">
      <c r="F852" s="1426"/>
      <c r="K852" s="1490"/>
      <c r="M852" s="1490"/>
    </row>
    <row r="853" spans="6:13" ht="14.25">
      <c r="F853" s="1426"/>
      <c r="K853" s="1490"/>
      <c r="M853" s="1490"/>
    </row>
    <row r="854" spans="6:13" ht="14.25">
      <c r="F854" s="1426"/>
      <c r="K854" s="1490"/>
      <c r="M854" s="1490"/>
    </row>
    <row r="855" spans="6:13" ht="14.25">
      <c r="F855" s="1426"/>
      <c r="K855" s="1490"/>
      <c r="M855" s="1490"/>
    </row>
    <row r="856" spans="6:13" ht="14.25">
      <c r="F856" s="1426"/>
      <c r="K856" s="1490"/>
      <c r="M856" s="1490"/>
    </row>
    <row r="857" spans="6:13" ht="14.25">
      <c r="F857" s="1426"/>
      <c r="K857" s="1490"/>
      <c r="M857" s="1490"/>
    </row>
    <row r="858" spans="6:13" ht="14.25">
      <c r="F858" s="1426"/>
      <c r="K858" s="1490"/>
      <c r="M858" s="1490"/>
    </row>
    <row r="859" spans="6:13" ht="14.25">
      <c r="F859" s="1426"/>
      <c r="K859" s="1490"/>
      <c r="M859" s="1490"/>
    </row>
    <row r="860" spans="6:13" ht="14.25">
      <c r="F860" s="1426"/>
      <c r="K860" s="1490"/>
      <c r="M860" s="1490"/>
    </row>
    <row r="861" spans="6:13" ht="14.25">
      <c r="F861" s="1426"/>
      <c r="K861" s="1490"/>
      <c r="M861" s="1490"/>
    </row>
    <row r="862" spans="6:13" ht="14.25">
      <c r="F862" s="1426"/>
      <c r="K862" s="1490"/>
      <c r="M862" s="1490"/>
    </row>
    <row r="863" spans="6:13" ht="14.25">
      <c r="F863" s="1426"/>
      <c r="K863" s="1490"/>
      <c r="M863" s="1490"/>
    </row>
    <row r="864" spans="6:13" ht="14.25">
      <c r="F864" s="1426"/>
      <c r="K864" s="1490"/>
      <c r="M864" s="1490"/>
    </row>
    <row r="865" spans="6:13" ht="14.25">
      <c r="F865" s="1426"/>
      <c r="K865" s="1490"/>
      <c r="M865" s="1490"/>
    </row>
    <row r="866" spans="6:13" ht="14.25">
      <c r="F866" s="1426"/>
      <c r="K866" s="1490"/>
      <c r="M866" s="1490"/>
    </row>
    <row r="867" spans="6:13" ht="14.25">
      <c r="F867" s="1426"/>
      <c r="K867" s="1490"/>
      <c r="M867" s="1490"/>
    </row>
    <row r="868" spans="6:13" ht="14.25">
      <c r="F868" s="1426"/>
      <c r="K868" s="1490"/>
      <c r="M868" s="1490"/>
    </row>
    <row r="869" spans="6:13" ht="14.25">
      <c r="F869" s="1426"/>
      <c r="K869" s="1490"/>
      <c r="M869" s="1490"/>
    </row>
    <row r="870" spans="6:13" ht="14.25">
      <c r="F870" s="1426"/>
      <c r="K870" s="1490"/>
      <c r="M870" s="1490"/>
    </row>
    <row r="871" spans="6:13" ht="14.25">
      <c r="F871" s="1426"/>
      <c r="K871" s="1490"/>
      <c r="M871" s="1490"/>
    </row>
    <row r="872" spans="6:13" ht="14.25">
      <c r="F872" s="1426"/>
      <c r="K872" s="1490"/>
      <c r="M872" s="1490"/>
    </row>
    <row r="873" spans="6:13" ht="14.25">
      <c r="F873" s="1426"/>
      <c r="K873" s="1490"/>
      <c r="M873" s="1490"/>
    </row>
    <row r="874" spans="6:13" ht="14.25">
      <c r="F874" s="1426"/>
      <c r="K874" s="1490"/>
      <c r="M874" s="1490"/>
    </row>
    <row r="875" spans="6:13" ht="14.25">
      <c r="F875" s="1426"/>
      <c r="K875" s="1490"/>
      <c r="M875" s="1490"/>
    </row>
    <row r="876" spans="6:13" ht="14.25">
      <c r="F876" s="1426"/>
      <c r="K876" s="1490"/>
      <c r="M876" s="1490"/>
    </row>
    <row r="877" spans="6:13" ht="14.25">
      <c r="F877" s="1426"/>
      <c r="K877" s="1490"/>
      <c r="M877" s="1490"/>
    </row>
    <row r="878" spans="6:13" ht="14.25">
      <c r="F878" s="1426"/>
      <c r="K878" s="1490"/>
      <c r="M878" s="1490"/>
    </row>
    <row r="879" spans="6:13" ht="14.25">
      <c r="F879" s="1426"/>
      <c r="K879" s="1490"/>
      <c r="M879" s="1490"/>
    </row>
    <row r="880" spans="6:13" ht="14.25">
      <c r="F880" s="1426"/>
      <c r="K880" s="1490"/>
      <c r="M880" s="1490"/>
    </row>
    <row r="881" spans="6:13" ht="14.25">
      <c r="F881" s="1426"/>
      <c r="K881" s="1490"/>
      <c r="M881" s="1490"/>
    </row>
    <row r="882" spans="6:13" ht="14.25">
      <c r="F882" s="1426"/>
      <c r="K882" s="1490"/>
      <c r="M882" s="1490"/>
    </row>
    <row r="883" spans="6:13" ht="14.25">
      <c r="F883" s="1426"/>
      <c r="K883" s="1490"/>
      <c r="M883" s="1490"/>
    </row>
    <row r="884" spans="6:13" ht="14.25">
      <c r="F884" s="1426"/>
      <c r="K884" s="1490"/>
      <c r="M884" s="1490"/>
    </row>
    <row r="885" spans="6:13" ht="14.25">
      <c r="F885" s="1426"/>
      <c r="K885" s="1490"/>
      <c r="M885" s="1490"/>
    </row>
    <row r="886" spans="6:13" ht="14.25">
      <c r="F886" s="1426"/>
      <c r="K886" s="1490"/>
      <c r="M886" s="1490"/>
    </row>
    <row r="887" spans="6:13" ht="14.25">
      <c r="F887" s="1426"/>
      <c r="K887" s="1490"/>
      <c r="M887" s="1490"/>
    </row>
    <row r="888" spans="6:13" ht="14.25">
      <c r="F888" s="1426"/>
      <c r="K888" s="1490"/>
      <c r="M888" s="1490"/>
    </row>
    <row r="889" spans="6:13" ht="14.25">
      <c r="F889" s="1426"/>
      <c r="K889" s="1490"/>
      <c r="M889" s="1490"/>
    </row>
    <row r="890" spans="6:13" ht="14.25">
      <c r="F890" s="1426"/>
      <c r="K890" s="1490"/>
      <c r="M890" s="1490"/>
    </row>
    <row r="891" spans="6:13" ht="14.25">
      <c r="F891" s="1426"/>
      <c r="K891" s="1490"/>
      <c r="M891" s="1490"/>
    </row>
    <row r="892" spans="6:13" ht="14.25">
      <c r="F892" s="1426"/>
      <c r="K892" s="1490"/>
      <c r="M892" s="1490"/>
    </row>
    <row r="893" spans="6:13" ht="14.25">
      <c r="F893" s="1426"/>
      <c r="K893" s="1490"/>
      <c r="M893" s="1490"/>
    </row>
    <row r="894" spans="6:13" ht="14.25">
      <c r="F894" s="1426"/>
      <c r="K894" s="1490"/>
      <c r="M894" s="1490"/>
    </row>
    <row r="895" spans="6:13" ht="14.25">
      <c r="F895" s="1426"/>
      <c r="K895" s="1490"/>
      <c r="M895" s="1490"/>
    </row>
    <row r="896" spans="6:13" ht="14.25">
      <c r="F896" s="1426"/>
      <c r="K896" s="1490"/>
      <c r="M896" s="1490"/>
    </row>
    <row r="897" spans="6:13" ht="14.25">
      <c r="F897" s="1426"/>
      <c r="K897" s="1490"/>
      <c r="M897" s="1490"/>
    </row>
    <row r="898" spans="6:13" ht="14.25">
      <c r="F898" s="1426"/>
      <c r="K898" s="1490"/>
      <c r="M898" s="1490"/>
    </row>
    <row r="899" spans="6:13" ht="14.25">
      <c r="F899" s="1426"/>
      <c r="K899" s="1490"/>
      <c r="M899" s="1490"/>
    </row>
    <row r="900" spans="6:13" ht="14.25">
      <c r="F900" s="1426"/>
      <c r="K900" s="1490"/>
      <c r="M900" s="1490"/>
    </row>
    <row r="901" spans="6:13" ht="14.25">
      <c r="F901" s="1426"/>
      <c r="K901" s="1490"/>
      <c r="M901" s="1490"/>
    </row>
    <row r="902" spans="6:13" ht="14.25">
      <c r="F902" s="1426"/>
      <c r="K902" s="1490"/>
      <c r="M902" s="1490"/>
    </row>
    <row r="903" spans="6:13" ht="14.25">
      <c r="F903" s="1426"/>
      <c r="K903" s="1490"/>
      <c r="M903" s="1490"/>
    </row>
    <row r="904" spans="6:13" ht="14.25">
      <c r="F904" s="1426"/>
      <c r="K904" s="1490"/>
      <c r="M904" s="1490"/>
    </row>
    <row r="905" spans="6:13" ht="14.25">
      <c r="F905" s="1426"/>
      <c r="K905" s="1490"/>
      <c r="M905" s="1490"/>
    </row>
    <row r="906" spans="6:13" ht="14.25">
      <c r="F906" s="1426"/>
      <c r="K906" s="1490"/>
      <c r="M906" s="1490"/>
    </row>
    <row r="907" spans="6:13" ht="14.25">
      <c r="F907" s="1426"/>
      <c r="K907" s="1490"/>
      <c r="M907" s="1490"/>
    </row>
    <row r="908" spans="6:13" ht="14.25">
      <c r="F908" s="1426"/>
      <c r="K908" s="1490"/>
      <c r="M908" s="1490"/>
    </row>
    <row r="909" spans="6:13" ht="14.25">
      <c r="F909" s="1426"/>
      <c r="K909" s="1490"/>
      <c r="M909" s="1490"/>
    </row>
    <row r="910" spans="6:13" ht="14.25">
      <c r="F910" s="1426"/>
      <c r="K910" s="1490"/>
      <c r="M910" s="1490"/>
    </row>
    <row r="911" spans="6:13" ht="14.25">
      <c r="F911" s="1426"/>
      <c r="K911" s="1490"/>
      <c r="M911" s="1490"/>
    </row>
    <row r="912" spans="6:13" ht="14.25">
      <c r="F912" s="1426"/>
      <c r="K912" s="1490"/>
      <c r="M912" s="1490"/>
    </row>
    <row r="913" spans="6:13" ht="14.25">
      <c r="F913" s="1426"/>
      <c r="K913" s="1490"/>
      <c r="M913" s="1490"/>
    </row>
    <row r="914" spans="6:13" ht="14.25">
      <c r="F914" s="1426"/>
      <c r="K914" s="1490"/>
      <c r="M914" s="1490"/>
    </row>
    <row r="915" spans="6:13" ht="14.25">
      <c r="F915" s="1426"/>
      <c r="K915" s="1490"/>
      <c r="M915" s="1490"/>
    </row>
    <row r="916" spans="6:13" ht="14.25">
      <c r="F916" s="1426"/>
      <c r="K916" s="1490"/>
      <c r="M916" s="1490"/>
    </row>
    <row r="917" spans="6:13" ht="14.25">
      <c r="F917" s="1426"/>
      <c r="K917" s="1490"/>
      <c r="M917" s="1490"/>
    </row>
    <row r="918" spans="6:13" ht="14.25">
      <c r="F918" s="1426"/>
      <c r="K918" s="1490"/>
      <c r="M918" s="1490"/>
    </row>
    <row r="919" spans="6:13" ht="14.25">
      <c r="F919" s="1426"/>
      <c r="K919" s="1490"/>
      <c r="M919" s="1490"/>
    </row>
    <row r="920" spans="6:13" ht="14.25">
      <c r="F920" s="1426"/>
      <c r="K920" s="1490"/>
      <c r="M920" s="1490"/>
    </row>
    <row r="921" spans="6:13" ht="14.25">
      <c r="F921" s="1426"/>
      <c r="K921" s="1490"/>
      <c r="M921" s="1490"/>
    </row>
    <row r="922" spans="6:13" ht="14.25">
      <c r="F922" s="1426"/>
      <c r="K922" s="1490"/>
      <c r="M922" s="1490"/>
    </row>
    <row r="923" spans="6:13" ht="14.25">
      <c r="F923" s="1426"/>
      <c r="K923" s="1490"/>
      <c r="M923" s="1490"/>
    </row>
    <row r="924" spans="6:13" ht="14.25">
      <c r="F924" s="1426"/>
      <c r="K924" s="1490"/>
      <c r="M924" s="1490"/>
    </row>
    <row r="925" spans="6:13" ht="14.25">
      <c r="F925" s="1426"/>
      <c r="K925" s="1490"/>
      <c r="M925" s="1490"/>
    </row>
    <row r="926" spans="6:13" ht="14.25">
      <c r="F926" s="1426"/>
      <c r="K926" s="1490"/>
      <c r="M926" s="1490"/>
    </row>
    <row r="927" spans="6:13" ht="14.25">
      <c r="F927" s="1426"/>
      <c r="K927" s="1490"/>
      <c r="M927" s="1490"/>
    </row>
    <row r="928" spans="6:13" ht="14.25">
      <c r="F928" s="1426"/>
      <c r="K928" s="1490"/>
      <c r="M928" s="1490"/>
    </row>
    <row r="929" spans="6:13" ht="14.25">
      <c r="F929" s="1426"/>
      <c r="K929" s="1490"/>
      <c r="M929" s="1490"/>
    </row>
    <row r="930" spans="6:13" ht="14.25">
      <c r="F930" s="1426"/>
      <c r="K930" s="1490"/>
      <c r="M930" s="1490"/>
    </row>
    <row r="931" spans="6:13" ht="14.25">
      <c r="F931" s="1426"/>
      <c r="K931" s="1490"/>
      <c r="M931" s="1490"/>
    </row>
    <row r="932" spans="6:13" ht="14.25">
      <c r="F932" s="1426"/>
      <c r="K932" s="1490"/>
      <c r="M932" s="1490"/>
    </row>
    <row r="933" spans="6:13" ht="14.25">
      <c r="F933" s="1426"/>
      <c r="K933" s="1490"/>
      <c r="M933" s="1490"/>
    </row>
    <row r="934" spans="6:13" ht="14.25">
      <c r="F934" s="1426"/>
      <c r="K934" s="1490"/>
      <c r="M934" s="1490"/>
    </row>
    <row r="935" spans="6:13" ht="14.25">
      <c r="F935" s="1426"/>
      <c r="K935" s="1490"/>
      <c r="M935" s="1490"/>
    </row>
    <row r="936" spans="6:13" ht="14.25">
      <c r="F936" s="1426"/>
      <c r="K936" s="1490"/>
      <c r="M936" s="1490"/>
    </row>
    <row r="937" spans="6:13" ht="14.25">
      <c r="F937" s="1426"/>
      <c r="K937" s="1490"/>
      <c r="M937" s="1490"/>
    </row>
    <row r="938" spans="6:13" ht="14.25">
      <c r="F938" s="1426"/>
      <c r="K938" s="1490"/>
      <c r="M938" s="1490"/>
    </row>
    <row r="939" spans="6:13" ht="14.25">
      <c r="F939" s="1426"/>
      <c r="K939" s="1490"/>
      <c r="M939" s="1490"/>
    </row>
    <row r="940" spans="6:13" ht="14.25">
      <c r="F940" s="1426"/>
      <c r="K940" s="1490"/>
      <c r="M940" s="1490"/>
    </row>
    <row r="941" spans="6:13" ht="14.25">
      <c r="F941" s="1426"/>
      <c r="K941" s="1490"/>
      <c r="M941" s="1490"/>
    </row>
    <row r="942" spans="6:13" ht="14.25">
      <c r="F942" s="1426"/>
      <c r="K942" s="1490"/>
      <c r="M942" s="1490"/>
    </row>
    <row r="943" spans="6:13" ht="14.25">
      <c r="F943" s="1426"/>
      <c r="K943" s="1490"/>
      <c r="M943" s="1490"/>
    </row>
    <row r="944" spans="6:13" ht="14.25">
      <c r="F944" s="1426"/>
      <c r="K944" s="1490"/>
      <c r="M944" s="1490"/>
    </row>
    <row r="945" spans="6:13" ht="14.25">
      <c r="F945" s="1426"/>
      <c r="K945" s="1490"/>
      <c r="M945" s="1490"/>
    </row>
    <row r="946" spans="6:13" ht="14.25">
      <c r="F946" s="1426"/>
      <c r="K946" s="1490"/>
      <c r="M946" s="1490"/>
    </row>
    <row r="947" spans="6:13" ht="14.25">
      <c r="F947" s="1426"/>
      <c r="K947" s="1490"/>
      <c r="M947" s="1490"/>
    </row>
    <row r="948" spans="6:13" ht="14.25">
      <c r="F948" s="1426"/>
      <c r="K948" s="1490"/>
      <c r="M948" s="1490"/>
    </row>
    <row r="949" spans="6:13" ht="14.25">
      <c r="F949" s="1426"/>
      <c r="K949" s="1490"/>
      <c r="M949" s="1490"/>
    </row>
    <row r="950" spans="6:13" ht="14.25">
      <c r="F950" s="1426"/>
      <c r="K950" s="1490"/>
      <c r="M950" s="1490"/>
    </row>
    <row r="951" spans="6:13" ht="14.25">
      <c r="F951" s="1426"/>
      <c r="K951" s="1490"/>
      <c r="M951" s="1490"/>
    </row>
    <row r="952" spans="6:13" ht="14.25">
      <c r="F952" s="1426"/>
      <c r="K952" s="1490"/>
      <c r="M952" s="1490"/>
    </row>
    <row r="953" spans="6:13" ht="14.25">
      <c r="F953" s="1426"/>
      <c r="K953" s="1490"/>
      <c r="M953" s="1490"/>
    </row>
    <row r="954" spans="6:13" ht="14.25">
      <c r="F954" s="1426"/>
      <c r="K954" s="1490"/>
      <c r="M954" s="1490"/>
    </row>
    <row r="955" spans="6:13" ht="14.25">
      <c r="F955" s="1426"/>
      <c r="K955" s="1490"/>
      <c r="M955" s="1490"/>
    </row>
    <row r="956" spans="6:13" ht="14.25">
      <c r="F956" s="1426"/>
      <c r="K956" s="1490"/>
      <c r="M956" s="1490"/>
    </row>
    <row r="957" spans="6:13" ht="14.25">
      <c r="F957" s="1426"/>
      <c r="K957" s="1490"/>
      <c r="M957" s="1490"/>
    </row>
    <row r="958" spans="6:13" ht="14.25">
      <c r="F958" s="1426"/>
      <c r="K958" s="1490"/>
      <c r="M958" s="1490"/>
    </row>
    <row r="959" spans="6:13" ht="14.25">
      <c r="F959" s="1426"/>
      <c r="K959" s="1490"/>
      <c r="M959" s="1490"/>
    </row>
    <row r="960" spans="6:13" ht="14.25">
      <c r="F960" s="1426"/>
      <c r="K960" s="1490"/>
      <c r="M960" s="1490"/>
    </row>
    <row r="961" spans="6:13" ht="14.25">
      <c r="F961" s="1426"/>
      <c r="K961" s="1490"/>
      <c r="M961" s="1490"/>
    </row>
    <row r="962" spans="6:13" ht="14.25">
      <c r="F962" s="1426"/>
      <c r="K962" s="1490"/>
      <c r="M962" s="1490"/>
    </row>
    <row r="963" spans="6:13" ht="14.25">
      <c r="F963" s="1426"/>
      <c r="K963" s="1490"/>
      <c r="M963" s="1490"/>
    </row>
    <row r="964" spans="6:13" ht="14.25">
      <c r="F964" s="1426"/>
      <c r="K964" s="1490"/>
      <c r="M964" s="1490"/>
    </row>
    <row r="965" spans="6:13" ht="14.25">
      <c r="F965" s="1426"/>
      <c r="K965" s="1490"/>
      <c r="M965" s="1490"/>
    </row>
    <row r="966" spans="6:13" ht="14.25">
      <c r="F966" s="1426"/>
      <c r="K966" s="1490"/>
      <c r="M966" s="1490"/>
    </row>
    <row r="967" spans="6:13" ht="14.25">
      <c r="F967" s="1426"/>
      <c r="K967" s="1490"/>
      <c r="M967" s="1490"/>
    </row>
    <row r="968" spans="6:13" ht="14.25">
      <c r="F968" s="1426"/>
      <c r="K968" s="1490"/>
      <c r="M968" s="1490"/>
    </row>
    <row r="969" spans="6:13" ht="14.25">
      <c r="F969" s="1426"/>
      <c r="K969" s="1490"/>
      <c r="M969" s="1490"/>
    </row>
    <row r="970" spans="6:13" ht="14.25">
      <c r="F970" s="1426"/>
      <c r="K970" s="1490"/>
      <c r="M970" s="1490"/>
    </row>
    <row r="971" spans="6:13" ht="14.25">
      <c r="F971" s="1426"/>
      <c r="K971" s="1490"/>
      <c r="M971" s="1490"/>
    </row>
    <row r="972" spans="6:13" ht="14.25">
      <c r="F972" s="1426"/>
      <c r="K972" s="1490"/>
      <c r="M972" s="1490"/>
    </row>
    <row r="973" spans="6:13" ht="14.25">
      <c r="F973" s="1426"/>
      <c r="K973" s="1490"/>
      <c r="M973" s="1490"/>
    </row>
    <row r="974" spans="6:13" ht="14.25">
      <c r="F974" s="1426"/>
      <c r="K974" s="1490"/>
      <c r="M974" s="1490"/>
    </row>
    <row r="975" spans="6:13" ht="14.25">
      <c r="F975" s="1426"/>
      <c r="K975" s="1490"/>
      <c r="M975" s="1490"/>
    </row>
    <row r="976" spans="6:13" ht="14.25">
      <c r="F976" s="1426"/>
      <c r="K976" s="1490"/>
      <c r="M976" s="1490"/>
    </row>
    <row r="977" spans="6:13" ht="14.25">
      <c r="F977" s="1426"/>
      <c r="K977" s="1490"/>
      <c r="M977" s="1490"/>
    </row>
    <row r="978" spans="6:13" ht="14.25">
      <c r="F978" s="1426"/>
      <c r="K978" s="1490"/>
      <c r="M978" s="1490"/>
    </row>
    <row r="979" spans="6:13" ht="14.25">
      <c r="F979" s="1426"/>
      <c r="K979" s="1490"/>
      <c r="M979" s="1490"/>
    </row>
    <row r="980" spans="6:13" ht="14.25">
      <c r="F980" s="1426"/>
      <c r="K980" s="1490"/>
      <c r="M980" s="1490"/>
    </row>
    <row r="981" spans="6:13" ht="14.25">
      <c r="F981" s="1426"/>
      <c r="K981" s="1490"/>
      <c r="M981" s="1490"/>
    </row>
    <row r="982" spans="6:13" ht="14.25">
      <c r="F982" s="1426"/>
      <c r="K982" s="1490"/>
      <c r="M982" s="1490"/>
    </row>
    <row r="983" spans="6:13" ht="14.25">
      <c r="F983" s="1426"/>
      <c r="K983" s="1490"/>
      <c r="M983" s="1490"/>
    </row>
    <row r="984" spans="6:13" ht="14.25">
      <c r="F984" s="1426"/>
      <c r="K984" s="1490"/>
      <c r="M984" s="1490"/>
    </row>
    <row r="985" spans="6:13" ht="14.25">
      <c r="F985" s="1426"/>
      <c r="K985" s="1490"/>
      <c r="M985" s="1490"/>
    </row>
    <row r="986" spans="6:13" ht="14.25">
      <c r="F986" s="1426"/>
      <c r="K986" s="1490"/>
      <c r="M986" s="1490"/>
    </row>
    <row r="987" spans="6:13" ht="14.25">
      <c r="F987" s="1426"/>
      <c r="K987" s="1490"/>
      <c r="M987" s="1490"/>
    </row>
    <row r="988" spans="6:13" ht="14.25">
      <c r="F988" s="1426"/>
      <c r="K988" s="1490"/>
      <c r="M988" s="1490"/>
    </row>
    <row r="989" spans="6:13" ht="14.25">
      <c r="F989" s="1426"/>
      <c r="K989" s="1490"/>
      <c r="M989" s="1490"/>
    </row>
    <row r="990" spans="6:13" ht="14.25">
      <c r="F990" s="1426"/>
      <c r="K990" s="1490"/>
      <c r="M990" s="1490"/>
    </row>
    <row r="991" spans="6:13" ht="14.25">
      <c r="F991" s="1426"/>
      <c r="K991" s="1490"/>
      <c r="M991" s="1490"/>
    </row>
    <row r="992" spans="6:13" ht="14.25">
      <c r="F992" s="1426"/>
      <c r="K992" s="1490"/>
      <c r="M992" s="1490"/>
    </row>
    <row r="993" spans="6:13" ht="14.25">
      <c r="F993" s="1426"/>
      <c r="K993" s="1490"/>
      <c r="M993" s="1490"/>
    </row>
    <row r="994" spans="6:13" ht="14.25">
      <c r="F994" s="1426"/>
      <c r="K994" s="1490"/>
      <c r="M994" s="1490"/>
    </row>
    <row r="995" spans="6:13" ht="14.25">
      <c r="F995" s="1426"/>
      <c r="K995" s="1490"/>
      <c r="M995" s="1490"/>
    </row>
    <row r="996" spans="6:13" ht="14.25">
      <c r="F996" s="1426"/>
      <c r="K996" s="1490"/>
      <c r="M996" s="1490"/>
    </row>
    <row r="997" spans="6:13" ht="14.25">
      <c r="F997" s="1426"/>
      <c r="K997" s="1490"/>
      <c r="M997" s="1490"/>
    </row>
    <row r="998" spans="6:13" ht="14.25">
      <c r="F998" s="1426"/>
      <c r="K998" s="1490"/>
      <c r="M998" s="1490"/>
    </row>
    <row r="999" spans="6:13" ht="14.25">
      <c r="F999" s="1426"/>
      <c r="K999" s="1490"/>
      <c r="M999" s="1490"/>
    </row>
    <row r="1000" spans="6:13" ht="14.25">
      <c r="F1000" s="1426"/>
      <c r="K1000" s="1490"/>
      <c r="M1000" s="1490"/>
    </row>
    <row r="1001" spans="6:13" ht="14.25">
      <c r="F1001" s="1426"/>
      <c r="M1001" s="1490"/>
    </row>
  </sheetData>
  <mergeCells count="9">
    <mergeCell ref="T21:U21"/>
    <mergeCell ref="T29:U29"/>
    <mergeCell ref="K3:L4"/>
    <mergeCell ref="N5:O5"/>
    <mergeCell ref="A6:A8"/>
    <mergeCell ref="K13:L13"/>
    <mergeCell ref="B17:C18"/>
    <mergeCell ref="K17:L18"/>
    <mergeCell ref="S19:V19"/>
  </mergeCells>
  <pageMargins left="0.7" right="0.7" top="0.75" bottom="0.75" header="0" footer="0"/>
  <pageSetup orientation="portrait"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D97D3-2009-4E7F-9534-D11F02E6425E}">
  <sheetPr>
    <outlinePr summaryBelow="0" summaryRight="0"/>
  </sheetPr>
  <dimension ref="A1:K33"/>
  <sheetViews>
    <sheetView topLeftCell="A7" workbookViewId="0">
      <selection activeCell="F15" sqref="F15"/>
    </sheetView>
  </sheetViews>
  <sheetFormatPr defaultColWidth="14.42578125" defaultRowHeight="15.75" customHeight="1"/>
  <cols>
    <col min="1" max="1" width="14.42578125" style="600"/>
    <col min="2" max="2" width="18.42578125" style="600" customWidth="1"/>
    <col min="3" max="5" width="14.42578125" style="600"/>
    <col min="6" max="6" width="14.42578125" style="600" customWidth="1"/>
    <col min="7" max="16384" width="14.42578125" style="600"/>
  </cols>
  <sheetData>
    <row r="1" spans="1:7" ht="14.25">
      <c r="A1" s="1323"/>
      <c r="B1" s="1323"/>
      <c r="C1" s="1323"/>
      <c r="D1" s="1323"/>
      <c r="E1" s="1323"/>
      <c r="F1" s="1323"/>
    </row>
    <row r="2" spans="1:7" ht="14.25">
      <c r="A2" s="1323"/>
      <c r="B2" s="1323"/>
      <c r="C2" s="1323"/>
      <c r="D2" s="1323"/>
      <c r="E2" s="1323"/>
      <c r="F2" s="1323"/>
    </row>
    <row r="3" spans="1:7" ht="14.25">
      <c r="A3" s="1323"/>
      <c r="B3" s="1323"/>
      <c r="C3" s="1323"/>
      <c r="D3" s="1323"/>
      <c r="E3" s="1323"/>
      <c r="F3" s="1323"/>
    </row>
    <row r="4" spans="1:7" ht="14.25">
      <c r="A4" s="1323"/>
      <c r="B4" s="1323"/>
      <c r="C4" s="1323"/>
      <c r="D4" s="1323"/>
      <c r="E4" s="1323"/>
      <c r="F4" s="1323"/>
    </row>
    <row r="5" spans="1:7" ht="14.25">
      <c r="A5" s="1323"/>
      <c r="B5" s="1323"/>
      <c r="C5" s="1323"/>
      <c r="D5" s="1323"/>
      <c r="E5" s="1323"/>
      <c r="F5" s="1323"/>
    </row>
    <row r="6" spans="1:7" ht="15.75" customHeight="1">
      <c r="A6" s="1323"/>
      <c r="B6" s="1323"/>
      <c r="C6" s="1323"/>
      <c r="D6" s="1323"/>
      <c r="E6" s="1323"/>
      <c r="F6" s="1323"/>
    </row>
    <row r="7" spans="1:7" ht="15.75" customHeight="1">
      <c r="A7" s="1323"/>
      <c r="B7" s="1323"/>
      <c r="C7" s="1323"/>
      <c r="D7" s="1323"/>
      <c r="E7" s="1323"/>
      <c r="F7" s="1323"/>
    </row>
    <row r="8" spans="1:7" ht="13.5" thickBot="1">
      <c r="A8" s="1916" t="s">
        <v>1436</v>
      </c>
      <c r="B8" s="1917"/>
      <c r="E8" s="1916" t="s">
        <v>1437</v>
      </c>
      <c r="F8" s="1917"/>
    </row>
    <row r="9" spans="1:7" ht="12.75">
      <c r="A9" s="941" t="s">
        <v>1438</v>
      </c>
      <c r="B9" s="1548">
        <v>9.99</v>
      </c>
      <c r="E9" s="941" t="s">
        <v>0</v>
      </c>
      <c r="F9" s="1548">
        <v>9.99</v>
      </c>
    </row>
    <row r="10" spans="1:7" ht="12.75">
      <c r="A10" s="941" t="s">
        <v>1439</v>
      </c>
      <c r="B10" s="942">
        <v>1</v>
      </c>
      <c r="C10" s="940" t="s">
        <v>1440</v>
      </c>
      <c r="E10" s="941" t="s">
        <v>1439</v>
      </c>
      <c r="F10" s="942">
        <v>999</v>
      </c>
      <c r="G10" s="940" t="s">
        <v>1441</v>
      </c>
    </row>
    <row r="11" spans="1:7" ht="12.75">
      <c r="A11" s="941" t="s">
        <v>710</v>
      </c>
      <c r="B11" s="942">
        <v>12</v>
      </c>
      <c r="C11" s="940" t="s">
        <v>1442</v>
      </c>
      <c r="E11" s="941" t="s">
        <v>710</v>
      </c>
      <c r="F11" s="942">
        <v>999</v>
      </c>
      <c r="G11" s="940" t="s">
        <v>1442</v>
      </c>
    </row>
    <row r="12" spans="1:7" ht="12.75">
      <c r="A12" s="941" t="s">
        <v>3</v>
      </c>
      <c r="B12" s="1549">
        <f>((1+B9/B10)^B11)-1</f>
        <v>3104361645560.0894</v>
      </c>
      <c r="E12" s="941" t="s">
        <v>3</v>
      </c>
      <c r="F12" s="1549">
        <f>((1+F9/F10)^F11)-1</f>
        <v>20750.639245360293</v>
      </c>
    </row>
    <row r="17" spans="1:11" ht="15.75" customHeight="1" thickBot="1"/>
    <row r="18" spans="1:11" ht="15.75" customHeight="1">
      <c r="A18" s="1918" t="s">
        <v>1443</v>
      </c>
      <c r="B18" s="1919"/>
      <c r="G18" s="1918" t="s">
        <v>1443</v>
      </c>
      <c r="H18" s="1919"/>
    </row>
    <row r="19" spans="1:11" ht="15.75" customHeight="1">
      <c r="A19" s="1550" t="s">
        <v>1444</v>
      </c>
      <c r="B19" s="1551">
        <v>281247.88900000002</v>
      </c>
      <c r="G19" s="1550" t="s">
        <v>1444</v>
      </c>
      <c r="H19" s="1551">
        <v>122936.04</v>
      </c>
    </row>
    <row r="20" spans="1:11" ht="15.75" customHeight="1">
      <c r="A20" s="1550" t="s">
        <v>1445</v>
      </c>
      <c r="B20" s="1552">
        <v>0.1956</v>
      </c>
      <c r="G20" s="1550" t="s">
        <v>1445</v>
      </c>
      <c r="H20" s="1552">
        <v>0.1608</v>
      </c>
    </row>
    <row r="21" spans="1:11" ht="15.75" customHeight="1">
      <c r="A21" s="1550" t="s">
        <v>556</v>
      </c>
      <c r="B21" s="1553">
        <v>5</v>
      </c>
      <c r="G21" s="1550" t="s">
        <v>556</v>
      </c>
      <c r="H21" s="1553">
        <v>7</v>
      </c>
    </row>
    <row r="22" spans="1:11" ht="15.75" customHeight="1" thickBot="1">
      <c r="A22" s="1554" t="s">
        <v>1446</v>
      </c>
      <c r="B22" s="1555">
        <f>B19/((1+B20)^B21)</f>
        <v>115122.37471931659</v>
      </c>
      <c r="G22" s="1554" t="s">
        <v>1446</v>
      </c>
      <c r="H22" s="1555">
        <f>H19/((1+H20)^H21)</f>
        <v>43288.987049953117</v>
      </c>
      <c r="I22" s="1556" t="s">
        <v>1447</v>
      </c>
      <c r="J22" s="1556"/>
    </row>
    <row r="23" spans="1:11" ht="15.75" customHeight="1">
      <c r="A23" s="1323"/>
      <c r="B23" s="1323"/>
      <c r="I23" s="1556" t="s">
        <v>1448</v>
      </c>
      <c r="J23" s="1556"/>
      <c r="K23" s="1556"/>
    </row>
    <row r="24" spans="1:11" ht="15.75" customHeight="1">
      <c r="A24" s="1323"/>
      <c r="B24" s="1323"/>
    </row>
    <row r="25" spans="1:11" ht="15.75" customHeight="1">
      <c r="A25" s="1323" t="s">
        <v>1449</v>
      </c>
      <c r="B25" s="1323"/>
    </row>
    <row r="26" spans="1:11" ht="15.75" customHeight="1">
      <c r="A26" s="1323" t="s">
        <v>1450</v>
      </c>
      <c r="B26" s="1323"/>
    </row>
    <row r="27" spans="1:11" ht="15.75" customHeight="1">
      <c r="A27" s="1323"/>
      <c r="B27" s="1323"/>
    </row>
    <row r="28" spans="1:11" ht="15.75" customHeight="1" thickBot="1">
      <c r="A28" s="1323"/>
      <c r="B28" s="1323"/>
    </row>
    <row r="29" spans="1:11" ht="15.75" customHeight="1">
      <c r="A29" s="1918" t="s">
        <v>1451</v>
      </c>
      <c r="B29" s="1919"/>
    </row>
    <row r="30" spans="1:11" ht="15.75" customHeight="1">
      <c r="A30" s="1550" t="s">
        <v>1452</v>
      </c>
      <c r="B30" s="1551">
        <v>100809.44</v>
      </c>
    </row>
    <row r="31" spans="1:11" ht="15.75" customHeight="1">
      <c r="A31" s="1550" t="s">
        <v>708</v>
      </c>
      <c r="B31" s="1552">
        <v>0.57779999999999998</v>
      </c>
    </row>
    <row r="32" spans="1:11" ht="15.75" customHeight="1">
      <c r="A32" s="1550" t="s">
        <v>710</v>
      </c>
      <c r="B32" s="1553">
        <v>3</v>
      </c>
    </row>
    <row r="33" spans="1:2" ht="15.75" customHeight="1" thickBot="1">
      <c r="A33" s="1554" t="s">
        <v>1453</v>
      </c>
      <c r="B33" s="1555">
        <f>B30*(1+B31)^B32</f>
        <v>395965.23503400414</v>
      </c>
    </row>
  </sheetData>
  <mergeCells count="5">
    <mergeCell ref="A8:B8"/>
    <mergeCell ref="E8:F8"/>
    <mergeCell ref="A18:B18"/>
    <mergeCell ref="G18:H18"/>
    <mergeCell ref="A29:B29"/>
  </mergeCells>
  <conditionalFormatting sqref="A8:B12 E8:F12">
    <cfRule type="containsText" dxfId="0" priority="1" operator="containsText" text="999">
      <formula>NOT(ISERROR(SEARCH(("999"),(A8))))</formula>
    </cfRule>
  </conditionalFormatting>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3BCCC-CE28-4D60-AB45-719F9928BFFB}">
  <dimension ref="A1:Z1030"/>
  <sheetViews>
    <sheetView showGridLines="0" zoomScale="90" zoomScaleNormal="90" workbookViewId="0">
      <selection activeCell="F15" sqref="F15"/>
    </sheetView>
  </sheetViews>
  <sheetFormatPr defaultColWidth="14.42578125" defaultRowHeight="15" customHeight="1"/>
  <cols>
    <col min="1" max="1" width="41.5703125" style="1323" customWidth="1"/>
    <col min="2" max="2" width="15.85546875" style="1323" customWidth="1"/>
    <col min="3" max="3" width="16.5703125" style="1323" customWidth="1"/>
    <col min="4" max="4" width="15" style="1323" customWidth="1"/>
    <col min="5" max="5" width="18.140625" style="1323" customWidth="1"/>
    <col min="6" max="7" width="16.140625" style="1323" customWidth="1"/>
    <col min="8" max="26" width="9.140625" style="1323" customWidth="1"/>
    <col min="27" max="16384" width="14.42578125" style="1323"/>
  </cols>
  <sheetData>
    <row r="1" spans="1:26" ht="36" customHeight="1">
      <c r="A1" s="1321"/>
      <c r="B1" s="1321"/>
      <c r="C1" s="1322"/>
      <c r="D1" s="1322"/>
      <c r="E1" s="1322"/>
      <c r="F1" s="1322"/>
      <c r="G1" s="1322"/>
    </row>
    <row r="2" spans="1:26" ht="36" customHeight="1">
      <c r="A2" s="1324" t="s">
        <v>1294</v>
      </c>
      <c r="B2" s="1324"/>
      <c r="C2" s="1322">
        <f>10000*0.35</f>
        <v>3500</v>
      </c>
      <c r="D2" s="1322">
        <f>10000*0.4</f>
        <v>4000</v>
      </c>
      <c r="E2" s="1322">
        <f>10000*0.45</f>
        <v>4500</v>
      </c>
      <c r="F2" s="1322">
        <f>M4*0.5</f>
        <v>5600.0000000000009</v>
      </c>
      <c r="G2" s="1322">
        <f>F2</f>
        <v>5600.0000000000009</v>
      </c>
      <c r="K2" s="1325" t="s">
        <v>1295</v>
      </c>
    </row>
    <row r="3" spans="1:26" ht="36" customHeight="1">
      <c r="A3" s="1324" t="s">
        <v>1296</v>
      </c>
      <c r="B3" s="1326"/>
      <c r="C3" s="1327">
        <f>C2*K9</f>
        <v>7000000</v>
      </c>
      <c r="D3" s="1327">
        <f>D2*L9</f>
        <v>8400000</v>
      </c>
      <c r="E3" s="1327">
        <f>E2*M9</f>
        <v>9922500</v>
      </c>
      <c r="F3" s="1327">
        <f>F2*N9</f>
        <v>12965400.000000002</v>
      </c>
      <c r="G3" s="1327">
        <f>G2*O9</f>
        <v>13613670.000000004</v>
      </c>
      <c r="K3" s="1325" t="s">
        <v>1297</v>
      </c>
    </row>
    <row r="4" spans="1:26" ht="36" customHeight="1">
      <c r="A4" s="1328" t="s">
        <v>1298</v>
      </c>
      <c r="B4" s="1328" t="s">
        <v>818</v>
      </c>
      <c r="C4" s="1328" t="s">
        <v>451</v>
      </c>
      <c r="D4" s="1328" t="s">
        <v>632</v>
      </c>
      <c r="E4" s="1328" t="s">
        <v>793</v>
      </c>
      <c r="F4" s="1328" t="s">
        <v>794</v>
      </c>
      <c r="G4" s="1328" t="s">
        <v>795</v>
      </c>
      <c r="K4" s="1325" t="s">
        <v>1299</v>
      </c>
      <c r="M4" s="1323">
        <f>10000*1.12</f>
        <v>11200.000000000002</v>
      </c>
    </row>
    <row r="5" spans="1:26">
      <c r="A5" s="1329" t="s">
        <v>1300</v>
      </c>
      <c r="B5" s="1330"/>
      <c r="C5" s="1330"/>
      <c r="D5" s="1330"/>
      <c r="E5" s="1330"/>
      <c r="F5" s="1330"/>
      <c r="G5" s="1330"/>
    </row>
    <row r="6" spans="1:26">
      <c r="A6" s="1331" t="s">
        <v>1296</v>
      </c>
      <c r="B6" s="1332"/>
      <c r="C6" s="1559">
        <f>C3</f>
        <v>7000000</v>
      </c>
      <c r="D6" s="1559">
        <f>D3</f>
        <v>8400000</v>
      </c>
      <c r="E6" s="1559">
        <f>E3</f>
        <v>9922500</v>
      </c>
      <c r="F6" s="1559">
        <f>F3</f>
        <v>12965400.000000002</v>
      </c>
      <c r="G6" s="1559">
        <f>G3</f>
        <v>13613670.000000004</v>
      </c>
      <c r="H6" s="1334"/>
      <c r="I6" s="1334"/>
      <c r="J6" s="1334"/>
      <c r="K6" s="1334"/>
      <c r="L6" s="1334"/>
      <c r="M6" s="1334"/>
      <c r="N6" s="1334"/>
      <c r="O6" s="1334"/>
      <c r="P6" s="1334"/>
      <c r="Q6" s="1334"/>
      <c r="R6" s="1334"/>
      <c r="S6" s="1334"/>
      <c r="T6" s="1334"/>
      <c r="U6" s="1334"/>
      <c r="V6" s="1334"/>
      <c r="W6" s="1334"/>
      <c r="X6" s="1334"/>
      <c r="Y6" s="1334"/>
      <c r="Z6" s="1334"/>
    </row>
    <row r="7" spans="1:26">
      <c r="A7" s="1334" t="s">
        <v>1301</v>
      </c>
      <c r="B7" s="1332"/>
      <c r="C7" s="1560"/>
      <c r="D7" s="1560"/>
      <c r="E7" s="1560"/>
      <c r="F7" s="1560"/>
      <c r="G7" s="1559">
        <f>B49*-0.3</f>
        <v>48000</v>
      </c>
      <c r="H7" s="1334"/>
      <c r="I7" s="1334"/>
      <c r="J7" s="1334"/>
      <c r="K7" s="1334"/>
      <c r="L7" s="1334"/>
      <c r="M7" s="1334"/>
      <c r="N7" s="1334"/>
      <c r="O7" s="1334"/>
      <c r="P7" s="1334"/>
      <c r="Q7" s="1334"/>
      <c r="R7" s="1334"/>
      <c r="S7" s="1334"/>
      <c r="T7" s="1334"/>
      <c r="U7" s="1334"/>
      <c r="V7" s="1334"/>
      <c r="W7" s="1334"/>
      <c r="X7" s="1334"/>
      <c r="Y7" s="1334"/>
      <c r="Z7" s="1334"/>
    </row>
    <row r="8" spans="1:26">
      <c r="A8" s="1325" t="s">
        <v>1302</v>
      </c>
      <c r="C8" s="1562"/>
      <c r="D8" s="1562"/>
      <c r="E8" s="1562"/>
      <c r="F8" s="1562"/>
      <c r="G8" s="1559">
        <f>B50*-0.6</f>
        <v>2640000</v>
      </c>
      <c r="H8" s="1334"/>
      <c r="I8" s="1334"/>
      <c r="J8" s="1334"/>
      <c r="K8" s="1334" t="s">
        <v>1303</v>
      </c>
      <c r="L8" s="1334"/>
      <c r="M8" s="1334"/>
      <c r="N8" s="1334"/>
      <c r="O8" s="1334"/>
      <c r="P8" s="1334"/>
      <c r="Q8" s="1334"/>
      <c r="R8" s="1334"/>
      <c r="S8" s="1334"/>
      <c r="T8" s="1334"/>
      <c r="U8" s="1334"/>
      <c r="V8" s="1334"/>
      <c r="W8" s="1334"/>
      <c r="X8" s="1334"/>
      <c r="Y8" s="1334"/>
      <c r="Z8" s="1334"/>
    </row>
    <row r="9" spans="1:26">
      <c r="A9" s="1325" t="s">
        <v>1304</v>
      </c>
      <c r="C9" s="1562"/>
      <c r="D9" s="1562"/>
      <c r="E9" s="1562"/>
      <c r="F9" s="1562"/>
      <c r="G9" s="1559">
        <f>B51*-0.6</f>
        <v>360000</v>
      </c>
      <c r="H9" s="1334"/>
      <c r="I9" s="1334"/>
      <c r="J9" s="1334"/>
      <c r="K9" s="1334">
        <v>2000</v>
      </c>
      <c r="L9" s="1334">
        <f>2000*1.05</f>
        <v>2100</v>
      </c>
      <c r="M9" s="1334">
        <f>L9*1.05</f>
        <v>2205</v>
      </c>
      <c r="N9" s="1334">
        <f>M9*1.05</f>
        <v>2315.25</v>
      </c>
      <c r="O9" s="1334">
        <f>N9*1.05</f>
        <v>2431.0125000000003</v>
      </c>
      <c r="P9" s="1334"/>
      <c r="Q9" s="1334"/>
      <c r="R9" s="1334"/>
      <c r="S9" s="1334"/>
      <c r="T9" s="1334"/>
      <c r="U9" s="1334"/>
      <c r="V9" s="1334"/>
      <c r="W9" s="1334"/>
      <c r="X9" s="1334"/>
      <c r="Y9" s="1334"/>
      <c r="Z9" s="1334"/>
    </row>
    <row r="10" spans="1:26">
      <c r="A10" s="1325" t="s">
        <v>1305</v>
      </c>
      <c r="C10" s="1562"/>
      <c r="D10" s="1562"/>
      <c r="E10" s="1562"/>
      <c r="F10" s="1562"/>
      <c r="G10" s="1559">
        <f>B52*-0.1</f>
        <v>180000</v>
      </c>
      <c r="H10" s="1334"/>
      <c r="I10" s="1334"/>
      <c r="J10" s="1334"/>
      <c r="K10" s="1334"/>
      <c r="L10" s="1334"/>
      <c r="M10" s="1334"/>
      <c r="N10" s="1334"/>
      <c r="O10" s="1334"/>
      <c r="P10" s="1334"/>
      <c r="Q10" s="1334"/>
      <c r="R10" s="1334"/>
      <c r="S10" s="1334"/>
      <c r="T10" s="1334"/>
      <c r="U10" s="1334"/>
      <c r="V10" s="1334"/>
      <c r="W10" s="1334"/>
      <c r="X10" s="1334"/>
      <c r="Y10" s="1334"/>
      <c r="Z10" s="1334"/>
    </row>
    <row r="11" spans="1:26">
      <c r="A11" s="1325" t="s">
        <v>1306</v>
      </c>
      <c r="C11" s="1562"/>
      <c r="D11" s="1562"/>
      <c r="E11" s="1562"/>
      <c r="F11" s="1562"/>
      <c r="G11" s="1559">
        <f>E53*-0.6</f>
        <v>600000</v>
      </c>
      <c r="H11" s="1334"/>
      <c r="I11" s="1334"/>
      <c r="J11" s="1334"/>
      <c r="K11" s="1334"/>
      <c r="L11" s="1334"/>
      <c r="M11" s="1334"/>
      <c r="N11" s="1334"/>
      <c r="O11" s="1334"/>
      <c r="P11" s="1334"/>
      <c r="Q11" s="1334"/>
      <c r="R11" s="1334"/>
      <c r="S11" s="1334"/>
      <c r="T11" s="1334"/>
      <c r="U11" s="1334"/>
      <c r="V11" s="1334"/>
      <c r="W11" s="1334"/>
      <c r="X11" s="1334"/>
      <c r="Y11" s="1334"/>
      <c r="Z11" s="1334"/>
    </row>
    <row r="12" spans="1:26">
      <c r="A12" s="1325" t="s">
        <v>1307</v>
      </c>
      <c r="C12" s="1562"/>
      <c r="D12" s="1562"/>
      <c r="E12" s="1562"/>
      <c r="F12" s="1562"/>
      <c r="G12" s="1559">
        <f>E54*-0.6</f>
        <v>72000</v>
      </c>
      <c r="H12" s="1334"/>
      <c r="I12" s="1334"/>
      <c r="J12" s="1334"/>
      <c r="K12" s="1334"/>
      <c r="L12" s="1334"/>
      <c r="M12" s="1334"/>
      <c r="N12" s="1334"/>
      <c r="O12" s="1334"/>
      <c r="P12" s="1334"/>
      <c r="Q12" s="1334"/>
      <c r="R12" s="1334"/>
      <c r="S12" s="1334"/>
      <c r="T12" s="1334"/>
      <c r="U12" s="1334"/>
      <c r="V12" s="1334"/>
      <c r="W12" s="1334"/>
      <c r="X12" s="1334"/>
      <c r="Y12" s="1334"/>
      <c r="Z12" s="1334"/>
    </row>
    <row r="13" spans="1:26">
      <c r="C13" s="1562"/>
      <c r="D13" s="1562"/>
      <c r="E13" s="1562"/>
      <c r="F13" s="1562"/>
      <c r="G13" s="1559"/>
      <c r="H13" s="1334"/>
      <c r="I13" s="1334"/>
      <c r="J13" s="1334"/>
      <c r="K13" s="1334"/>
      <c r="L13" s="1334"/>
      <c r="M13" s="1334"/>
      <c r="N13" s="1334"/>
      <c r="O13" s="1334"/>
      <c r="P13" s="1334"/>
      <c r="Q13" s="1334"/>
      <c r="R13" s="1334"/>
      <c r="S13" s="1334"/>
      <c r="T13" s="1334"/>
      <c r="U13" s="1334"/>
      <c r="V13" s="1334"/>
      <c r="W13" s="1334"/>
      <c r="X13" s="1334"/>
      <c r="Y13" s="1334"/>
      <c r="Z13" s="1334"/>
    </row>
    <row r="14" spans="1:26">
      <c r="A14" s="1329" t="s">
        <v>1308</v>
      </c>
      <c r="B14" s="1336"/>
      <c r="C14" s="1565"/>
      <c r="D14" s="1565"/>
      <c r="E14" s="1565"/>
      <c r="F14" s="1565"/>
      <c r="G14" s="1565"/>
    </row>
    <row r="15" spans="1:26">
      <c r="A15" s="1337" t="s">
        <v>1309</v>
      </c>
      <c r="B15" s="1332"/>
      <c r="C15" s="1560">
        <f>-200000*0.4</f>
        <v>-80000</v>
      </c>
      <c r="D15" s="1560">
        <f>-200000*0.4</f>
        <v>-80000</v>
      </c>
      <c r="E15" s="1560">
        <f>-200000*0.4</f>
        <v>-80000</v>
      </c>
      <c r="F15" s="1560">
        <f>-200000*0.4</f>
        <v>-80000</v>
      </c>
      <c r="G15" s="1560">
        <f>-200000*0.4</f>
        <v>-80000</v>
      </c>
    </row>
    <row r="16" spans="1:26">
      <c r="A16" s="1337" t="s">
        <v>1310</v>
      </c>
      <c r="B16" s="1332"/>
      <c r="C16" s="1559">
        <f>-200*C2-120*C2</f>
        <v>-1120000</v>
      </c>
      <c r="D16" s="1559">
        <f>-200*D2-120*D2</f>
        <v>-1280000</v>
      </c>
      <c r="E16" s="1559">
        <f>-200*E2-120*E2</f>
        <v>-1440000</v>
      </c>
      <c r="F16" s="1559">
        <f>-200*F2-120*F2</f>
        <v>-1792000.0000000005</v>
      </c>
      <c r="G16" s="1559">
        <f>-200*G2-120*G2</f>
        <v>-1792000.0000000005</v>
      </c>
      <c r="H16" s="1334" t="s">
        <v>1311</v>
      </c>
      <c r="I16" s="1334"/>
      <c r="J16" s="1334"/>
      <c r="K16" s="1334"/>
      <c r="L16" s="1334"/>
      <c r="M16" s="1334"/>
      <c r="N16" s="1334"/>
      <c r="O16" s="1334"/>
      <c r="P16" s="1334"/>
      <c r="Q16" s="1334"/>
      <c r="R16" s="1334"/>
      <c r="S16" s="1334"/>
      <c r="T16" s="1334"/>
      <c r="U16" s="1334"/>
      <c r="V16" s="1334"/>
      <c r="W16" s="1334"/>
      <c r="X16" s="1334"/>
      <c r="Y16" s="1334"/>
      <c r="Z16" s="1334"/>
    </row>
    <row r="17" spans="1:26">
      <c r="A17" s="1334" t="s">
        <v>1312</v>
      </c>
      <c r="B17" s="1332"/>
      <c r="C17" s="1560">
        <f>-250000*0.3</f>
        <v>-75000</v>
      </c>
      <c r="D17" s="1560">
        <f>-250000*0.3</f>
        <v>-75000</v>
      </c>
      <c r="E17" s="1560">
        <f>-250000*0.3</f>
        <v>-75000</v>
      </c>
      <c r="F17" s="1560">
        <f>-250000*0.3</f>
        <v>-75000</v>
      </c>
      <c r="G17" s="1560">
        <f>-250000*0.3</f>
        <v>-75000</v>
      </c>
      <c r="H17" s="1334"/>
      <c r="I17" s="1334"/>
      <c r="J17" s="1334"/>
      <c r="K17" s="1334"/>
      <c r="L17" s="1334"/>
      <c r="M17" s="1334"/>
      <c r="N17" s="1334"/>
      <c r="O17" s="1334"/>
      <c r="P17" s="1334"/>
      <c r="Q17" s="1334"/>
      <c r="R17" s="1334"/>
      <c r="S17" s="1334"/>
      <c r="T17" s="1334"/>
      <c r="U17" s="1334"/>
      <c r="V17" s="1334"/>
      <c r="W17" s="1334"/>
      <c r="X17" s="1334"/>
      <c r="Y17" s="1334"/>
      <c r="Z17" s="1334"/>
    </row>
    <row r="18" spans="1:26">
      <c r="A18" s="1334" t="s">
        <v>1313</v>
      </c>
      <c r="B18" s="1332"/>
      <c r="C18" s="1559">
        <f>-3000*12</f>
        <v>-36000</v>
      </c>
      <c r="D18" s="1559">
        <f>-3000*12</f>
        <v>-36000</v>
      </c>
      <c r="E18" s="1559">
        <f>-3000*12</f>
        <v>-36000</v>
      </c>
      <c r="F18" s="1559">
        <f>-3000*12</f>
        <v>-36000</v>
      </c>
      <c r="G18" s="1559">
        <f>-3000*12</f>
        <v>-36000</v>
      </c>
      <c r="H18" s="1334"/>
      <c r="I18" s="1334"/>
      <c r="J18" s="1334"/>
      <c r="K18" s="1334"/>
      <c r="L18" s="1334"/>
      <c r="M18" s="1334"/>
      <c r="N18" s="1334"/>
      <c r="O18" s="1334"/>
      <c r="P18" s="1334"/>
      <c r="Q18" s="1334"/>
      <c r="R18" s="1334"/>
      <c r="S18" s="1334"/>
      <c r="T18" s="1334"/>
      <c r="U18" s="1334"/>
      <c r="V18" s="1334"/>
      <c r="W18" s="1334"/>
      <c r="X18" s="1334"/>
      <c r="Y18" s="1334"/>
      <c r="Z18" s="1334"/>
    </row>
    <row r="19" spans="1:26">
      <c r="A19" s="1334" t="s">
        <v>1314</v>
      </c>
      <c r="B19" s="1332"/>
      <c r="C19" s="1559"/>
      <c r="D19" s="1559">
        <v>-5490</v>
      </c>
      <c r="E19" s="1559">
        <v>-3873</v>
      </c>
      <c r="F19" s="1559">
        <v>-2052</v>
      </c>
      <c r="G19" s="1559"/>
      <c r="H19" s="1334"/>
      <c r="I19" s="1334"/>
      <c r="J19" s="1334"/>
      <c r="K19" s="1334"/>
      <c r="L19" s="1334"/>
      <c r="M19" s="1334"/>
      <c r="N19" s="1334"/>
      <c r="O19" s="1334"/>
      <c r="P19" s="1334"/>
      <c r="Q19" s="1334"/>
      <c r="R19" s="1334"/>
      <c r="S19" s="1334"/>
      <c r="T19" s="1334"/>
      <c r="U19" s="1334"/>
      <c r="V19" s="1334"/>
      <c r="W19" s="1334"/>
      <c r="X19" s="1334"/>
      <c r="Y19" s="1334"/>
      <c r="Z19" s="1334"/>
    </row>
    <row r="20" spans="1:26">
      <c r="A20" s="1325"/>
      <c r="B20" s="1332"/>
      <c r="C20" s="1561"/>
      <c r="D20" s="1561"/>
      <c r="E20" s="1561"/>
      <c r="F20" s="1561"/>
      <c r="G20" s="1561"/>
      <c r="H20" s="1334"/>
      <c r="I20" s="1334"/>
      <c r="J20" s="1334"/>
      <c r="K20" s="1334"/>
      <c r="L20" s="1334"/>
      <c r="M20" s="1334"/>
      <c r="N20" s="1334"/>
      <c r="O20" s="1334"/>
      <c r="P20" s="1334"/>
      <c r="Q20" s="1334"/>
      <c r="R20" s="1334"/>
      <c r="S20" s="1334"/>
      <c r="T20" s="1334"/>
      <c r="U20" s="1334"/>
      <c r="V20" s="1334"/>
      <c r="W20" s="1334"/>
      <c r="X20" s="1334"/>
      <c r="Y20" s="1334"/>
      <c r="Z20" s="1334"/>
    </row>
    <row r="21" spans="1:26">
      <c r="A21" s="1325"/>
      <c r="B21" s="1332"/>
      <c r="C21" s="1561"/>
      <c r="D21" s="1561"/>
      <c r="E21" s="1561"/>
      <c r="F21" s="1561"/>
      <c r="G21" s="1561"/>
      <c r="H21" s="1334"/>
      <c r="I21" s="1334"/>
      <c r="J21" s="1334"/>
      <c r="K21" s="1334"/>
      <c r="L21" s="1334"/>
      <c r="M21" s="1334"/>
      <c r="N21" s="1334"/>
      <c r="O21" s="1334"/>
      <c r="P21" s="1334"/>
      <c r="Q21" s="1334"/>
      <c r="R21" s="1334"/>
      <c r="S21" s="1334"/>
      <c r="T21" s="1334"/>
      <c r="U21" s="1334"/>
      <c r="V21" s="1334"/>
      <c r="W21" s="1334"/>
      <c r="X21" s="1334"/>
      <c r="Y21" s="1334"/>
      <c r="Z21" s="1334"/>
    </row>
    <row r="22" spans="1:26">
      <c r="A22" s="1325"/>
      <c r="B22" s="1332"/>
      <c r="C22" s="1561"/>
      <c r="D22" s="1561"/>
      <c r="E22" s="1561"/>
      <c r="F22" s="1561"/>
      <c r="G22" s="1561"/>
      <c r="H22" s="1334"/>
      <c r="I22" s="1334"/>
      <c r="J22" s="1334"/>
      <c r="K22" s="1334"/>
      <c r="L22" s="1334"/>
      <c r="M22" s="1334"/>
      <c r="N22" s="1334"/>
      <c r="O22" s="1334"/>
      <c r="P22" s="1334"/>
      <c r="Q22" s="1334"/>
      <c r="R22" s="1334"/>
      <c r="S22" s="1334"/>
      <c r="T22" s="1334"/>
      <c r="U22" s="1334"/>
      <c r="V22" s="1334"/>
      <c r="W22" s="1334"/>
      <c r="X22" s="1334"/>
      <c r="Y22" s="1334"/>
      <c r="Z22" s="1334"/>
    </row>
    <row r="23" spans="1:26">
      <c r="A23" s="1325"/>
      <c r="B23" s="1332"/>
      <c r="C23" s="1561"/>
      <c r="D23" s="1561"/>
      <c r="E23" s="1561"/>
      <c r="F23" s="1561"/>
      <c r="G23" s="1561"/>
      <c r="H23" s="1334"/>
      <c r="I23" s="1334"/>
      <c r="J23" s="1334"/>
      <c r="K23" s="1334"/>
      <c r="L23" s="1334"/>
      <c r="M23" s="1334"/>
      <c r="N23" s="1334"/>
      <c r="O23" s="1334"/>
      <c r="P23" s="1334"/>
      <c r="Q23" s="1334"/>
      <c r="R23" s="1334"/>
      <c r="S23" s="1334"/>
      <c r="T23" s="1334"/>
      <c r="U23" s="1334"/>
      <c r="V23" s="1334"/>
      <c r="W23" s="1334"/>
      <c r="X23" s="1334"/>
      <c r="Y23" s="1334"/>
      <c r="Z23" s="1334"/>
    </row>
    <row r="24" spans="1:26">
      <c r="A24" s="1325"/>
      <c r="B24" s="1332"/>
      <c r="C24" s="1561"/>
      <c r="D24" s="1561"/>
      <c r="E24" s="1561"/>
      <c r="F24" s="1561"/>
      <c r="G24" s="1561"/>
      <c r="H24" s="1334"/>
      <c r="I24" s="1334"/>
      <c r="J24" s="1334"/>
      <c r="K24" s="1334"/>
      <c r="L24" s="1334"/>
      <c r="M24" s="1334"/>
      <c r="N24" s="1334"/>
      <c r="O24" s="1334"/>
      <c r="P24" s="1334"/>
      <c r="Q24" s="1334"/>
      <c r="R24" s="1334"/>
      <c r="S24" s="1334"/>
      <c r="T24" s="1334"/>
      <c r="U24" s="1334"/>
      <c r="V24" s="1334"/>
      <c r="W24" s="1334"/>
      <c r="X24" s="1334"/>
      <c r="Y24" s="1334"/>
      <c r="Z24" s="1334"/>
    </row>
    <row r="25" spans="1:26">
      <c r="A25" s="1325"/>
      <c r="B25" s="1332"/>
      <c r="C25" s="1561"/>
      <c r="D25" s="1561"/>
      <c r="E25" s="1561"/>
      <c r="F25" s="1561"/>
      <c r="G25" s="1561"/>
      <c r="H25" s="1334"/>
      <c r="I25" s="1334"/>
      <c r="J25" s="1334"/>
      <c r="K25" s="1334"/>
      <c r="L25" s="1334"/>
      <c r="M25" s="1334"/>
      <c r="N25" s="1334"/>
      <c r="O25" s="1334"/>
      <c r="P25" s="1334"/>
      <c r="Q25" s="1334"/>
      <c r="R25" s="1334"/>
      <c r="S25" s="1334"/>
      <c r="T25" s="1334"/>
      <c r="U25" s="1334"/>
      <c r="V25" s="1334"/>
      <c r="W25" s="1334"/>
      <c r="X25" s="1334"/>
      <c r="Y25" s="1334"/>
      <c r="Z25" s="1334"/>
    </row>
    <row r="26" spans="1:26">
      <c r="A26" s="1325"/>
      <c r="B26" s="1332"/>
      <c r="C26" s="1561"/>
      <c r="D26" s="1561"/>
      <c r="E26" s="1561"/>
      <c r="F26" s="1561"/>
      <c r="G26" s="1561"/>
      <c r="H26" s="1334"/>
      <c r="I26" s="1334"/>
      <c r="J26" s="1334"/>
      <c r="K26" s="1334"/>
      <c r="L26" s="1334"/>
      <c r="M26" s="1334"/>
      <c r="N26" s="1334"/>
      <c r="O26" s="1334"/>
      <c r="P26" s="1334"/>
      <c r="Q26" s="1334"/>
      <c r="R26" s="1334"/>
      <c r="S26" s="1334"/>
      <c r="T26" s="1334"/>
      <c r="U26" s="1334"/>
      <c r="V26" s="1334"/>
      <c r="W26" s="1334"/>
      <c r="X26" s="1334"/>
      <c r="Y26" s="1334"/>
      <c r="Z26" s="1334"/>
    </row>
    <row r="27" spans="1:26">
      <c r="A27" s="1325"/>
      <c r="B27" s="1332"/>
      <c r="C27" s="1561"/>
      <c r="D27" s="1561"/>
      <c r="E27" s="1561"/>
      <c r="F27" s="1561"/>
      <c r="G27" s="1561"/>
      <c r="H27" s="1334"/>
      <c r="I27" s="1334"/>
      <c r="J27" s="1334"/>
      <c r="K27" s="1334"/>
      <c r="L27" s="1334"/>
      <c r="M27" s="1334"/>
      <c r="N27" s="1334"/>
      <c r="O27" s="1334"/>
      <c r="P27" s="1334"/>
      <c r="Q27" s="1334"/>
      <c r="R27" s="1334"/>
      <c r="S27" s="1334"/>
      <c r="T27" s="1334"/>
      <c r="U27" s="1334"/>
      <c r="V27" s="1334"/>
      <c r="W27" s="1334"/>
      <c r="X27" s="1334"/>
      <c r="Y27" s="1334"/>
      <c r="Z27" s="1334"/>
    </row>
    <row r="28" spans="1:26">
      <c r="A28" s="1325"/>
      <c r="B28" s="1332"/>
      <c r="C28" s="1561"/>
      <c r="D28" s="1561"/>
      <c r="E28" s="1561"/>
      <c r="F28" s="1561"/>
      <c r="G28" s="1561"/>
      <c r="H28" s="1334"/>
      <c r="I28" s="1334"/>
      <c r="J28" s="1334"/>
      <c r="K28" s="1334"/>
      <c r="L28" s="1334"/>
      <c r="M28" s="1334"/>
      <c r="N28" s="1334"/>
      <c r="O28" s="1334"/>
      <c r="P28" s="1334"/>
      <c r="Q28" s="1334"/>
      <c r="R28" s="1334"/>
      <c r="S28" s="1334"/>
      <c r="T28" s="1334"/>
      <c r="U28" s="1334"/>
      <c r="V28" s="1334"/>
      <c r="W28" s="1334"/>
      <c r="X28" s="1334"/>
      <c r="Y28" s="1334"/>
      <c r="Z28" s="1334"/>
    </row>
    <row r="29" spans="1:26">
      <c r="A29" s="1329" t="s">
        <v>1315</v>
      </c>
      <c r="B29" s="1339"/>
      <c r="C29" s="1339"/>
      <c r="D29" s="1339"/>
      <c r="E29" s="1339"/>
      <c r="F29" s="1339"/>
      <c r="G29" s="1339"/>
    </row>
    <row r="30" spans="1:26">
      <c r="A30" s="1337" t="s">
        <v>1316</v>
      </c>
      <c r="B30" s="1332"/>
      <c r="C30" s="1559">
        <f>$B$49/5</f>
        <v>-32000</v>
      </c>
      <c r="D30" s="1559">
        <f>$B$49/5</f>
        <v>-32000</v>
      </c>
      <c r="E30" s="1559">
        <f>$B$49/5</f>
        <v>-32000</v>
      </c>
      <c r="F30" s="1559">
        <f>$B$49/5</f>
        <v>-32000</v>
      </c>
      <c r="G30" s="1559">
        <f>$B$49/5</f>
        <v>-32000</v>
      </c>
    </row>
    <row r="31" spans="1:26">
      <c r="A31" s="1337" t="s">
        <v>1317</v>
      </c>
      <c r="B31" s="1332"/>
      <c r="C31" s="1559">
        <f>$B$50/5</f>
        <v>-880000</v>
      </c>
      <c r="D31" s="1559">
        <f>$B$50/5</f>
        <v>-880000</v>
      </c>
      <c r="E31" s="1559">
        <f>$B$50/5</f>
        <v>-880000</v>
      </c>
      <c r="F31" s="1559">
        <f>$B$50/5</f>
        <v>-880000</v>
      </c>
      <c r="G31" s="1559">
        <f>$B$50/5</f>
        <v>-880000</v>
      </c>
      <c r="H31" s="1334"/>
      <c r="I31" s="1334"/>
      <c r="J31" s="1334"/>
      <c r="K31" s="1334"/>
      <c r="L31" s="1334"/>
      <c r="M31" s="1334"/>
      <c r="N31" s="1334"/>
      <c r="O31" s="1334"/>
      <c r="P31" s="1334"/>
      <c r="Q31" s="1334"/>
      <c r="R31" s="1334"/>
      <c r="S31" s="1334"/>
      <c r="T31" s="1334"/>
      <c r="U31" s="1334"/>
      <c r="V31" s="1334"/>
      <c r="W31" s="1334"/>
      <c r="X31" s="1334"/>
      <c r="Y31" s="1334"/>
      <c r="Z31" s="1334"/>
    </row>
    <row r="32" spans="1:26">
      <c r="A32" s="1334" t="s">
        <v>1318</v>
      </c>
      <c r="B32" s="1332"/>
      <c r="C32" s="1559">
        <f>$B$51/5</f>
        <v>-120000</v>
      </c>
      <c r="D32" s="1559">
        <f>$B$51/5</f>
        <v>-120000</v>
      </c>
      <c r="E32" s="1559">
        <f>$B$51/5</f>
        <v>-120000</v>
      </c>
      <c r="F32" s="1559">
        <f>$B$51/5</f>
        <v>-120000</v>
      </c>
      <c r="G32" s="1559">
        <f>$B$51/5</f>
        <v>-120000</v>
      </c>
      <c r="H32" s="1334"/>
      <c r="I32" s="1334"/>
      <c r="J32" s="1334"/>
      <c r="K32" s="1334"/>
      <c r="L32" s="1334"/>
      <c r="M32" s="1334"/>
      <c r="N32" s="1334"/>
      <c r="O32" s="1334"/>
      <c r="P32" s="1334"/>
      <c r="Q32" s="1334"/>
      <c r="R32" s="1334"/>
      <c r="S32" s="1334"/>
      <c r="T32" s="1334"/>
      <c r="U32" s="1334"/>
      <c r="V32" s="1334"/>
      <c r="W32" s="1334"/>
      <c r="X32" s="1334"/>
      <c r="Y32" s="1334"/>
      <c r="Z32" s="1334"/>
    </row>
    <row r="33" spans="1:26">
      <c r="A33" s="1334" t="s">
        <v>1319</v>
      </c>
      <c r="B33" s="1332"/>
      <c r="C33" s="1559">
        <f>$B$52/5</f>
        <v>-360000</v>
      </c>
      <c r="D33" s="1559">
        <f>$B$52/5</f>
        <v>-360000</v>
      </c>
      <c r="E33" s="1559">
        <f>$B$52/5</f>
        <v>-360000</v>
      </c>
      <c r="F33" s="1559">
        <f>$B$52/5</f>
        <v>-360000</v>
      </c>
      <c r="G33" s="1559">
        <f>$B$52/5</f>
        <v>-360000</v>
      </c>
      <c r="H33" s="1334"/>
      <c r="I33" s="1334"/>
      <c r="J33" s="1334"/>
      <c r="K33" s="1334"/>
      <c r="L33" s="1334"/>
      <c r="M33" s="1334"/>
      <c r="N33" s="1334"/>
      <c r="O33" s="1334"/>
      <c r="P33" s="1334"/>
      <c r="Q33" s="1334"/>
      <c r="R33" s="1334"/>
      <c r="S33" s="1334"/>
      <c r="T33" s="1334"/>
      <c r="U33" s="1334"/>
      <c r="V33" s="1334"/>
      <c r="W33" s="1334"/>
      <c r="X33" s="1334"/>
      <c r="Y33" s="1334"/>
      <c r="Z33" s="1334"/>
    </row>
    <row r="34" spans="1:26">
      <c r="A34" s="1334" t="s">
        <v>1320</v>
      </c>
      <c r="B34" s="1332"/>
      <c r="C34" s="1559"/>
      <c r="D34" s="1559"/>
      <c r="E34" s="1559"/>
      <c r="F34" s="1559">
        <f>$E$53/5</f>
        <v>-200000</v>
      </c>
      <c r="G34" s="1559">
        <f>$E$53/5</f>
        <v>-200000</v>
      </c>
      <c r="H34" s="1334"/>
      <c r="I34" s="1334"/>
      <c r="J34" s="1334"/>
      <c r="K34" s="1334"/>
      <c r="L34" s="1334"/>
      <c r="M34" s="1334"/>
      <c r="N34" s="1334"/>
      <c r="O34" s="1334"/>
      <c r="P34" s="1334"/>
      <c r="Q34" s="1334"/>
      <c r="R34" s="1334"/>
      <c r="S34" s="1334"/>
      <c r="T34" s="1334"/>
      <c r="U34" s="1334"/>
      <c r="V34" s="1334"/>
      <c r="W34" s="1334"/>
      <c r="X34" s="1334"/>
      <c r="Y34" s="1334"/>
      <c r="Z34" s="1334"/>
    </row>
    <row r="35" spans="1:26">
      <c r="A35" s="1334" t="s">
        <v>1321</v>
      </c>
      <c r="B35" s="1332"/>
      <c r="C35" s="1559"/>
      <c r="D35" s="1559"/>
      <c r="E35" s="1559"/>
      <c r="F35" s="1559">
        <f>$E$54/5</f>
        <v>-24000</v>
      </c>
      <c r="G35" s="1559">
        <f>$E$54/5</f>
        <v>-24000</v>
      </c>
      <c r="H35" s="1334"/>
      <c r="I35" s="1334"/>
      <c r="J35" s="1334"/>
      <c r="K35" s="1334"/>
      <c r="L35" s="1334"/>
      <c r="M35" s="1334"/>
      <c r="N35" s="1334"/>
      <c r="O35" s="1334"/>
      <c r="P35" s="1334"/>
      <c r="Q35" s="1334"/>
      <c r="R35" s="1334"/>
      <c r="S35" s="1334"/>
      <c r="T35" s="1334"/>
      <c r="U35" s="1334"/>
      <c r="V35" s="1334"/>
      <c r="W35" s="1334"/>
      <c r="X35" s="1334"/>
      <c r="Y35" s="1334"/>
      <c r="Z35" s="1334"/>
    </row>
    <row r="36" spans="1:26">
      <c r="A36" s="1334" t="s">
        <v>1322</v>
      </c>
      <c r="B36" s="1332"/>
      <c r="C36" s="1559"/>
      <c r="D36" s="1559"/>
      <c r="E36" s="1559"/>
      <c r="F36" s="1559"/>
      <c r="G36" s="1559">
        <f>F34*3</f>
        <v>-600000</v>
      </c>
      <c r="H36" s="1334"/>
      <c r="I36" s="1334"/>
      <c r="J36" s="1334"/>
      <c r="K36" s="1334"/>
      <c r="L36" s="1334"/>
      <c r="M36" s="1334"/>
      <c r="N36" s="1334"/>
      <c r="O36" s="1334"/>
      <c r="P36" s="1334"/>
      <c r="Q36" s="1334"/>
      <c r="R36" s="1334"/>
      <c r="S36" s="1334"/>
      <c r="T36" s="1334"/>
      <c r="U36" s="1334"/>
      <c r="V36" s="1334"/>
      <c r="W36" s="1334"/>
      <c r="X36" s="1334"/>
      <c r="Y36" s="1334"/>
      <c r="Z36" s="1334"/>
    </row>
    <row r="37" spans="1:26" ht="15.75" thickBot="1">
      <c r="A37" s="1334" t="s">
        <v>1323</v>
      </c>
      <c r="B37" s="1332"/>
      <c r="C37" s="1559"/>
      <c r="D37" s="1559"/>
      <c r="E37" s="1559"/>
      <c r="F37" s="1559"/>
      <c r="G37" s="1559">
        <f>F35*3</f>
        <v>-72000</v>
      </c>
      <c r="H37" s="1334"/>
      <c r="I37" s="1334"/>
      <c r="J37" s="1334"/>
      <c r="K37" s="1334"/>
      <c r="L37" s="1334"/>
      <c r="M37" s="1334"/>
      <c r="N37" s="1334"/>
      <c r="O37" s="1334"/>
      <c r="P37" s="1334"/>
      <c r="Q37" s="1334"/>
      <c r="R37" s="1334"/>
      <c r="S37" s="1334"/>
      <c r="T37" s="1334"/>
      <c r="U37" s="1334"/>
      <c r="V37" s="1334"/>
      <c r="W37" s="1334"/>
      <c r="X37" s="1334"/>
      <c r="Y37" s="1334"/>
      <c r="Z37" s="1334"/>
    </row>
    <row r="38" spans="1:26" ht="18.75" customHeight="1" thickTop="1" thickBot="1">
      <c r="A38" s="1340" t="s">
        <v>1324</v>
      </c>
      <c r="B38" s="1341"/>
      <c r="C38" s="1342">
        <f>SUM(C6:C37)</f>
        <v>4297000</v>
      </c>
      <c r="D38" s="1342">
        <f>SUM(D6:D37)</f>
        <v>5531510</v>
      </c>
      <c r="E38" s="1342">
        <f>SUM(E6:E37)</f>
        <v>6895627</v>
      </c>
      <c r="F38" s="1342">
        <f>SUM(F6:F37)</f>
        <v>9364348.0000000019</v>
      </c>
      <c r="G38" s="1343">
        <f>SUM(G6:G37)</f>
        <v>13242670.000000004</v>
      </c>
      <c r="H38" s="1344"/>
      <c r="I38" s="1344"/>
      <c r="J38" s="1344"/>
      <c r="K38" s="1344"/>
      <c r="L38" s="1344"/>
      <c r="M38" s="1344"/>
      <c r="N38" s="1344"/>
      <c r="O38" s="1344"/>
      <c r="P38" s="1344"/>
      <c r="Q38" s="1344"/>
      <c r="R38" s="1344"/>
      <c r="S38" s="1344"/>
      <c r="T38" s="1344"/>
      <c r="U38" s="1344"/>
      <c r="V38" s="1344"/>
      <c r="W38" s="1344"/>
      <c r="X38" s="1344"/>
      <c r="Y38" s="1344"/>
      <c r="Z38" s="1344"/>
    </row>
    <row r="39" spans="1:26" ht="8.25" customHeight="1" thickTop="1">
      <c r="A39" s="1334"/>
      <c r="B39" s="1332"/>
      <c r="C39" s="1332"/>
      <c r="D39" s="1332"/>
      <c r="E39" s="1332"/>
      <c r="F39" s="1332"/>
      <c r="G39" s="1332"/>
      <c r="H39" s="1334"/>
      <c r="I39" s="1334"/>
      <c r="J39" s="1334"/>
      <c r="K39" s="1334"/>
      <c r="L39" s="1334"/>
      <c r="M39" s="1334"/>
      <c r="N39" s="1334"/>
      <c r="O39" s="1334"/>
      <c r="P39" s="1334"/>
      <c r="Q39" s="1334"/>
      <c r="R39" s="1334"/>
      <c r="S39" s="1334"/>
      <c r="T39" s="1334"/>
      <c r="U39" s="1334"/>
      <c r="V39" s="1334"/>
      <c r="W39" s="1334"/>
      <c r="X39" s="1334"/>
      <c r="Y39" s="1334"/>
      <c r="Z39" s="1334"/>
    </row>
    <row r="40" spans="1:26">
      <c r="A40" s="1345" t="s">
        <v>1325</v>
      </c>
      <c r="B40" s="1346">
        <v>0.2</v>
      </c>
      <c r="C40" s="1332">
        <f>C38*B40</f>
        <v>859400</v>
      </c>
      <c r="D40" s="1332">
        <f>D38*B40</f>
        <v>1106302</v>
      </c>
      <c r="E40" s="1332">
        <f>E38*B40</f>
        <v>1379125.4000000001</v>
      </c>
      <c r="F40" s="1332">
        <f>F38*B40</f>
        <v>1872869.6000000006</v>
      </c>
      <c r="G40" s="1332">
        <f>G38*B40</f>
        <v>2648534.0000000009</v>
      </c>
      <c r="I40" s="1325" t="s">
        <v>1454</v>
      </c>
      <c r="J40" s="1347"/>
    </row>
    <row r="41" spans="1:26" ht="8.25" customHeight="1" thickBot="1">
      <c r="A41" s="1337"/>
      <c r="B41" s="1332"/>
      <c r="C41" s="1348"/>
      <c r="D41" s="1348"/>
      <c r="E41" s="1348"/>
      <c r="F41" s="1348"/>
      <c r="G41" s="1348"/>
      <c r="J41" s="1347"/>
    </row>
    <row r="42" spans="1:26" ht="17.25" thickTop="1" thickBot="1">
      <c r="A42" s="1340" t="s">
        <v>1326</v>
      </c>
      <c r="B42" s="1349"/>
      <c r="C42" s="1350">
        <f>C38+(-C40)</f>
        <v>3437600</v>
      </c>
      <c r="D42" s="1350">
        <f>D38+(-D40)</f>
        <v>4425208</v>
      </c>
      <c r="E42" s="1350">
        <f>E38+(-E40)</f>
        <v>5516501.5999999996</v>
      </c>
      <c r="F42" s="1350">
        <f>F38+(-F40)</f>
        <v>7491478.4000000013</v>
      </c>
      <c r="G42" s="1351">
        <f>G38+(-G40)</f>
        <v>10594136.000000004</v>
      </c>
      <c r="H42" s="1352"/>
      <c r="I42" s="1352"/>
      <c r="J42" s="1352"/>
      <c r="K42" s="1352"/>
      <c r="L42" s="1352"/>
      <c r="M42" s="1352"/>
      <c r="N42" s="1352"/>
      <c r="O42" s="1352"/>
      <c r="P42" s="1352"/>
      <c r="Q42" s="1352"/>
      <c r="R42" s="1352"/>
      <c r="S42" s="1352"/>
      <c r="T42" s="1352"/>
      <c r="U42" s="1352"/>
      <c r="V42" s="1352"/>
      <c r="W42" s="1352"/>
      <c r="X42" s="1352"/>
      <c r="Y42" s="1352"/>
      <c r="Z42" s="1352"/>
    </row>
    <row r="43" spans="1:26" ht="15.75" customHeight="1" thickTop="1">
      <c r="A43" s="1334"/>
      <c r="B43" s="1332"/>
      <c r="C43" s="1332"/>
      <c r="D43" s="1332"/>
      <c r="E43" s="1332"/>
      <c r="F43" s="1332"/>
      <c r="G43" s="1332"/>
    </row>
    <row r="44" spans="1:26" ht="15.75" customHeight="1">
      <c r="A44" s="1353" t="s">
        <v>1327</v>
      </c>
      <c r="B44" s="1354"/>
      <c r="C44" s="1354"/>
      <c r="D44" s="1354"/>
      <c r="E44" s="1354"/>
      <c r="F44" s="1354"/>
      <c r="G44" s="1354"/>
    </row>
    <row r="45" spans="1:26" ht="15.75" customHeight="1">
      <c r="A45" s="1334" t="s">
        <v>135</v>
      </c>
      <c r="B45" s="1332">
        <v>43288</v>
      </c>
      <c r="C45" s="1332"/>
      <c r="D45" s="1332"/>
      <c r="E45" s="1332"/>
      <c r="F45" s="1332"/>
      <c r="G45" s="1332"/>
    </row>
    <row r="46" spans="1:26" ht="15.75" customHeight="1">
      <c r="A46" s="1334" t="s">
        <v>1328</v>
      </c>
      <c r="B46" s="1332"/>
      <c r="C46" s="1332"/>
      <c r="D46" s="1332"/>
      <c r="E46" s="1332"/>
      <c r="F46" s="1332"/>
      <c r="G46" s="1332">
        <f>(B55+C55+D55+E55)*-1</f>
        <v>256266.66666666666</v>
      </c>
    </row>
    <row r="47" spans="1:26" ht="15.75" customHeight="1">
      <c r="A47" s="1334"/>
      <c r="B47" s="1332"/>
      <c r="C47" s="1332"/>
      <c r="D47" s="1332"/>
      <c r="E47" s="1332"/>
      <c r="F47" s="1332"/>
      <c r="G47" s="1332"/>
      <c r="J47" s="1352"/>
      <c r="K47" s="1352"/>
    </row>
    <row r="48" spans="1:26" ht="15.75" customHeight="1">
      <c r="A48" s="1355" t="s">
        <v>1329</v>
      </c>
      <c r="B48" s="1354"/>
      <c r="C48" s="1354"/>
      <c r="D48" s="1354"/>
      <c r="E48" s="1354"/>
      <c r="F48" s="1354"/>
      <c r="G48" s="1354"/>
    </row>
    <row r="49" spans="1:26" ht="15.75" customHeight="1">
      <c r="A49" s="1325" t="s">
        <v>1330</v>
      </c>
      <c r="B49" s="1559">
        <v>-160000</v>
      </c>
      <c r="C49" s="1559"/>
      <c r="D49" s="1559"/>
      <c r="E49" s="1559"/>
      <c r="F49" s="1559"/>
      <c r="G49" s="1559"/>
    </row>
    <row r="50" spans="1:26" ht="15.75" customHeight="1">
      <c r="A50" s="1325" t="s">
        <v>1331</v>
      </c>
      <c r="B50" s="1559">
        <f>-2200000*2</f>
        <v>-4400000</v>
      </c>
      <c r="C50" s="1559"/>
      <c r="D50" s="1559"/>
      <c r="E50" s="1559"/>
      <c r="F50" s="1559"/>
      <c r="G50" s="1559"/>
    </row>
    <row r="51" spans="1:26" ht="15.75" customHeight="1">
      <c r="A51" s="1331" t="s">
        <v>1332</v>
      </c>
      <c r="B51" s="1559">
        <f>-60000*10</f>
        <v>-600000</v>
      </c>
      <c r="C51" s="1559"/>
      <c r="D51" s="1559"/>
      <c r="E51" s="1559"/>
      <c r="F51" s="1559"/>
      <c r="G51" s="1559"/>
    </row>
    <row r="52" spans="1:26" ht="15.75" customHeight="1">
      <c r="A52" s="1334" t="s">
        <v>1333</v>
      </c>
      <c r="B52" s="1559">
        <v>-1800000</v>
      </c>
      <c r="C52" s="1559"/>
      <c r="D52" s="1559"/>
      <c r="E52" s="1559"/>
      <c r="F52" s="1559"/>
      <c r="G52" s="1559"/>
    </row>
    <row r="53" spans="1:26" ht="15.75" customHeight="1">
      <c r="A53" s="1334" t="s">
        <v>1334</v>
      </c>
      <c r="B53" s="1559"/>
      <c r="C53" s="1559"/>
      <c r="D53" s="1559"/>
      <c r="E53" s="1563">
        <v>-1000000</v>
      </c>
      <c r="F53" s="1559"/>
      <c r="G53" s="1559"/>
    </row>
    <row r="54" spans="1:26" ht="14.25" customHeight="1">
      <c r="A54" s="1334" t="s">
        <v>1335</v>
      </c>
      <c r="B54" s="1559"/>
      <c r="C54" s="1559"/>
      <c r="D54" s="1564"/>
      <c r="E54" s="1564">
        <f>-60000*2</f>
        <v>-120000</v>
      </c>
      <c r="F54" s="1559"/>
      <c r="G54" s="1559"/>
    </row>
    <row r="55" spans="1:26" ht="14.25" customHeight="1">
      <c r="A55" s="1334" t="s">
        <v>236</v>
      </c>
      <c r="B55" s="1559">
        <f>CT!J68</f>
        <v>-160166.66666666669</v>
      </c>
      <c r="C55" s="1559">
        <f>CT!J69</f>
        <v>-22880.952380952374</v>
      </c>
      <c r="D55" s="1559">
        <f>CT!J70</f>
        <v>-22880.952380952382</v>
      </c>
      <c r="E55" s="1559">
        <f>CT!J71</f>
        <v>-50338.095238095237</v>
      </c>
      <c r="F55" s="1559"/>
      <c r="G55" s="1559"/>
      <c r="H55" s="1325" t="s">
        <v>595</v>
      </c>
    </row>
    <row r="56" spans="1:26" ht="14.25" customHeight="1">
      <c r="A56" s="1334" t="s">
        <v>1336</v>
      </c>
      <c r="B56" s="1559">
        <v>-100000</v>
      </c>
      <c r="C56" s="1559"/>
      <c r="D56" s="1559"/>
      <c r="E56" s="1559"/>
      <c r="F56" s="1559"/>
      <c r="G56" s="1559"/>
      <c r="H56" s="1325" t="s">
        <v>1337</v>
      </c>
    </row>
    <row r="57" spans="1:26" ht="14.25" customHeight="1">
      <c r="A57" s="1334" t="s">
        <v>1338</v>
      </c>
      <c r="B57" s="1559">
        <v>-5000</v>
      </c>
      <c r="C57" s="1559"/>
      <c r="D57" s="1559"/>
      <c r="E57" s="1559"/>
      <c r="F57" s="1559"/>
      <c r="G57" s="1559"/>
    </row>
    <row r="58" spans="1:26" ht="14.25" customHeight="1">
      <c r="A58" s="1334" t="s">
        <v>1339</v>
      </c>
      <c r="B58" s="1559"/>
      <c r="C58" s="1559"/>
      <c r="D58" s="1559">
        <v>-12744</v>
      </c>
      <c r="E58" s="1559">
        <v>-14361</v>
      </c>
      <c r="F58" s="1559">
        <v>-16182</v>
      </c>
      <c r="G58" s="1559"/>
    </row>
    <row r="59" spans="1:26" ht="15.75" customHeight="1">
      <c r="A59" s="1353" t="s">
        <v>1340</v>
      </c>
      <c r="B59" s="1354"/>
      <c r="C59" s="1354"/>
      <c r="D59" s="1354"/>
      <c r="E59" s="1354"/>
      <c r="F59" s="1354"/>
      <c r="G59" s="1354"/>
    </row>
    <row r="60" spans="1:26" ht="15.75" customHeight="1">
      <c r="A60" s="1337" t="s">
        <v>1341</v>
      </c>
      <c r="B60" s="1332">
        <f t="shared" ref="B60:G60" si="0">-SUM(B30:B37)</f>
        <v>0</v>
      </c>
      <c r="C60" s="1332">
        <f t="shared" si="0"/>
        <v>1392000</v>
      </c>
      <c r="D60" s="1332">
        <f t="shared" si="0"/>
        <v>1392000</v>
      </c>
      <c r="E60" s="1332">
        <f t="shared" si="0"/>
        <v>1392000</v>
      </c>
      <c r="F60" s="1332">
        <f t="shared" si="0"/>
        <v>1616000</v>
      </c>
      <c r="G60" s="1332">
        <f t="shared" si="0"/>
        <v>2288000</v>
      </c>
    </row>
    <row r="61" spans="1:26" ht="15.75" customHeight="1" thickBot="1">
      <c r="A61" s="1337"/>
      <c r="B61" s="1332"/>
      <c r="C61" s="1332"/>
      <c r="D61" s="1332"/>
      <c r="E61" s="1332"/>
      <c r="F61" s="1332"/>
      <c r="G61" s="1332"/>
      <c r="I61" s="1334"/>
    </row>
    <row r="62" spans="1:26" ht="27" customHeight="1" thickTop="1" thickBot="1">
      <c r="A62" s="1358" t="s">
        <v>1342</v>
      </c>
      <c r="B62" s="1359">
        <f t="shared" ref="B62:G62" si="1">SUM(B42:B61)</f>
        <v>-7181878.666666667</v>
      </c>
      <c r="C62" s="1359">
        <f t="shared" si="1"/>
        <v>4806719.0476190476</v>
      </c>
      <c r="D62" s="1359">
        <f t="shared" si="1"/>
        <v>5781583.0476190476</v>
      </c>
      <c r="E62" s="1359">
        <f t="shared" si="1"/>
        <v>5723802.5047619045</v>
      </c>
      <c r="F62" s="1359">
        <f t="shared" si="1"/>
        <v>9091296.4000000022</v>
      </c>
      <c r="G62" s="1360">
        <f t="shared" si="1"/>
        <v>13138402.66666667</v>
      </c>
      <c r="H62" s="1361"/>
      <c r="I62" s="1361"/>
      <c r="J62" s="1361"/>
      <c r="K62" s="1361"/>
      <c r="L62" s="1361"/>
      <c r="M62" s="1361"/>
      <c r="N62" s="1361"/>
      <c r="O62" s="1361"/>
      <c r="P62" s="1361"/>
      <c r="Q62" s="1361"/>
      <c r="R62" s="1361"/>
      <c r="S62" s="1361"/>
      <c r="T62" s="1361"/>
      <c r="U62" s="1361"/>
      <c r="V62" s="1361"/>
      <c r="W62" s="1361"/>
      <c r="X62" s="1361"/>
      <c r="Y62" s="1361"/>
      <c r="Z62" s="1361"/>
    </row>
    <row r="63" spans="1:26" ht="15.75" customHeight="1" thickTop="1">
      <c r="A63" s="1362"/>
      <c r="B63" s="1363" t="s">
        <v>1343</v>
      </c>
      <c r="C63" s="1338">
        <f>C62/((1+B65)^1)</f>
        <v>4409833.9886413282</v>
      </c>
      <c r="D63" s="1338">
        <f>D62/((1+B65)^2)</f>
        <v>4866242.7805900574</v>
      </c>
      <c r="E63" s="1338">
        <f>E62/((1+B65)^3)</f>
        <v>4419825.7373092826</v>
      </c>
      <c r="F63" s="1338">
        <f>F62/((1+B65)^4)</f>
        <v>6440503.5710262619</v>
      </c>
      <c r="G63" s="1338">
        <f>G62/((1+B65)^5)</f>
        <v>8539060.2588925455</v>
      </c>
    </row>
    <row r="64" spans="1:26" ht="15.75" customHeight="1">
      <c r="A64" s="1364" t="s">
        <v>1344</v>
      </c>
      <c r="B64" s="1365">
        <f t="array" ref="B64">NPV(B65,C62:G62)+B62</f>
        <v>21493587.669792805</v>
      </c>
      <c r="C64" s="1338"/>
      <c r="D64" s="1338"/>
      <c r="E64" s="1338"/>
      <c r="F64" s="1338"/>
      <c r="G64" s="1338"/>
    </row>
    <row r="65" spans="1:6" ht="15.75" customHeight="1">
      <c r="A65" s="1366" t="s">
        <v>1345</v>
      </c>
      <c r="B65" s="1367">
        <v>0.09</v>
      </c>
      <c r="C65" s="1325" t="s">
        <v>1346</v>
      </c>
    </row>
    <row r="66" spans="1:6" ht="15.75" customHeight="1">
      <c r="A66" s="1366" t="s">
        <v>982</v>
      </c>
      <c r="B66" s="1367">
        <f>IRR(B62:G62)</f>
        <v>0.77990138976345924</v>
      </c>
    </row>
    <row r="67" spans="1:6" ht="15.75" customHeight="1">
      <c r="A67" s="1368" t="s">
        <v>1347</v>
      </c>
      <c r="B67" s="1369">
        <f>ABS(SUM(C63:G63)/B62)</f>
        <v>3.9927528251836435</v>
      </c>
      <c r="C67" s="1325"/>
    </row>
    <row r="68" spans="1:6" ht="15.75" customHeight="1">
      <c r="A68" s="1368" t="s">
        <v>1348</v>
      </c>
      <c r="B68" s="1370">
        <f>(C62+D62+E62+F62+G62+B62)/(B62*-1)</f>
        <v>4.3665350607426952</v>
      </c>
      <c r="D68" s="1371"/>
    </row>
    <row r="69" spans="1:6" ht="15.75" customHeight="1">
      <c r="B69" s="1372"/>
    </row>
    <row r="70" spans="1:6" ht="15.75" customHeight="1"/>
    <row r="71" spans="1:6" ht="15.75" customHeight="1">
      <c r="A71" s="1373" t="s">
        <v>1455</v>
      </c>
      <c r="B71" s="1374">
        <v>500000</v>
      </c>
      <c r="C71" s="1373" t="s">
        <v>1456</v>
      </c>
      <c r="D71" s="1374">
        <v>10</v>
      </c>
      <c r="E71" s="1373" t="s">
        <v>1457</v>
      </c>
      <c r="F71" s="1374">
        <v>400000</v>
      </c>
    </row>
    <row r="72" spans="1:6" ht="15.75" customHeight="1">
      <c r="A72" s="1373" t="s">
        <v>1458</v>
      </c>
      <c r="B72" s="1374">
        <f>180000-137000</f>
        <v>43000</v>
      </c>
      <c r="C72" s="1373" t="s">
        <v>1459</v>
      </c>
      <c r="D72" s="1374">
        <f>2+3.2+0.8</f>
        <v>6</v>
      </c>
      <c r="E72" s="1373" t="s">
        <v>1460</v>
      </c>
      <c r="F72" s="1374">
        <f>F71*D74</f>
        <v>459999.99999999994</v>
      </c>
    </row>
    <row r="73" spans="1:6" ht="15.75" customHeight="1">
      <c r="A73" s="1373" t="s">
        <v>1461</v>
      </c>
      <c r="B73" s="1374">
        <v>1.4</v>
      </c>
      <c r="C73" s="1373" t="s">
        <v>1462</v>
      </c>
      <c r="D73" s="1374">
        <v>400000</v>
      </c>
      <c r="E73" s="1373" t="s">
        <v>1463</v>
      </c>
      <c r="F73" s="1374">
        <f>F72*D75</f>
        <v>506000</v>
      </c>
    </row>
    <row r="74" spans="1:6" ht="15.75" customHeight="1">
      <c r="A74" s="1373" t="s">
        <v>1464</v>
      </c>
      <c r="B74" s="1374">
        <f>B72*B73</f>
        <v>60199.999999999993</v>
      </c>
      <c r="C74" s="1373" t="s">
        <v>1465</v>
      </c>
      <c r="D74" s="1374">
        <v>1.1499999999999999</v>
      </c>
      <c r="E74" s="1373" t="s">
        <v>1466</v>
      </c>
      <c r="F74" s="1374">
        <f>F73*D76</f>
        <v>531300</v>
      </c>
    </row>
    <row r="75" spans="1:6" ht="15.75" customHeight="1">
      <c r="A75" s="1373" t="s">
        <v>1467</v>
      </c>
      <c r="B75" s="1374">
        <f>B74*13</f>
        <v>782599.99999999988</v>
      </c>
      <c r="C75" s="1373" t="s">
        <v>1468</v>
      </c>
      <c r="D75" s="1374">
        <v>1.1000000000000001</v>
      </c>
      <c r="E75" s="1373" t="s">
        <v>1469</v>
      </c>
      <c r="F75" s="1374">
        <f>F74*D76</f>
        <v>557865</v>
      </c>
    </row>
    <row r="76" spans="1:6" ht="15.75" customHeight="1">
      <c r="C76" s="1373" t="s">
        <v>1470</v>
      </c>
      <c r="D76" s="1374">
        <v>1.05</v>
      </c>
    </row>
    <row r="77" spans="1:6" ht="15.75" customHeight="1"/>
    <row r="78" spans="1:6" ht="15.75" customHeight="1"/>
    <row r="79" spans="1:6" ht="15.75" customHeight="1">
      <c r="B79" s="1332"/>
    </row>
    <row r="80" spans="1:6" ht="15.75" customHeight="1">
      <c r="B80" s="1375" t="s">
        <v>1303</v>
      </c>
      <c r="C80" s="1376">
        <v>605000</v>
      </c>
      <c r="D80" s="1377"/>
      <c r="E80" s="1377"/>
    </row>
    <row r="81" spans="2:3" ht="15.75" customHeight="1">
      <c r="B81" s="1378" t="s">
        <v>1349</v>
      </c>
      <c r="C81" s="1379">
        <f>C80/1.21</f>
        <v>500000</v>
      </c>
    </row>
    <row r="82" spans="2:3" ht="15.75" customHeight="1">
      <c r="B82" s="1325" t="s">
        <v>1350</v>
      </c>
    </row>
    <row r="83" spans="2:3" ht="15.75" customHeight="1"/>
    <row r="84" spans="2:3" ht="15.75" customHeight="1"/>
    <row r="85" spans="2:3" ht="15.75" customHeight="1"/>
    <row r="86" spans="2:3" ht="15.75" customHeight="1"/>
    <row r="87" spans="2:3" ht="15.75" customHeight="1"/>
    <row r="88" spans="2:3" ht="15.75" customHeight="1"/>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pageMargins left="0.7" right="0.7" top="0.75" bottom="0.75" header="0" footer="0"/>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76B9B-E20A-4E6F-AAA0-C384D9484A7E}">
  <dimension ref="A3:A18"/>
  <sheetViews>
    <sheetView workbookViewId="0">
      <selection activeCell="F15" sqref="F15"/>
    </sheetView>
  </sheetViews>
  <sheetFormatPr defaultColWidth="11.42578125" defaultRowHeight="14.25"/>
  <cols>
    <col min="1" max="16384" width="11.42578125" style="1323"/>
  </cols>
  <sheetData>
    <row r="3" spans="1:1">
      <c r="A3" s="1323" t="s">
        <v>1471</v>
      </c>
    </row>
    <row r="4" spans="1:1">
      <c r="A4" s="1323" t="s">
        <v>1472</v>
      </c>
    </row>
    <row r="5" spans="1:1">
      <c r="A5" s="1323" t="s">
        <v>1473</v>
      </c>
    </row>
    <row r="6" spans="1:1">
      <c r="A6" s="1323" t="s">
        <v>1485</v>
      </c>
    </row>
    <row r="7" spans="1:1">
      <c r="A7" s="1323" t="s">
        <v>1474</v>
      </c>
    </row>
    <row r="8" spans="1:1">
      <c r="A8" s="1323" t="s">
        <v>1475</v>
      </c>
    </row>
    <row r="11" spans="1:1">
      <c r="A11" s="1323" t="s">
        <v>1476</v>
      </c>
    </row>
    <row r="12" spans="1:1">
      <c r="A12" s="1323" t="s">
        <v>1477</v>
      </c>
    </row>
    <row r="13" spans="1:1">
      <c r="A13" s="1323" t="s">
        <v>1478</v>
      </c>
    </row>
    <row r="14" spans="1:1">
      <c r="A14" s="1323" t="s">
        <v>1479</v>
      </c>
    </row>
    <row r="15" spans="1:1">
      <c r="A15" s="1323" t="s">
        <v>1480</v>
      </c>
    </row>
    <row r="16" spans="1:1">
      <c r="A16" s="1323" t="s">
        <v>1481</v>
      </c>
    </row>
    <row r="17" spans="1:1">
      <c r="A17" s="1323" t="s">
        <v>1482</v>
      </c>
    </row>
    <row r="18" spans="1:1">
      <c r="A18" s="1323" t="s">
        <v>1483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I14"/>
  <sheetViews>
    <sheetView workbookViewId="0">
      <selection activeCell="E18" sqref="E16:E18"/>
    </sheetView>
  </sheetViews>
  <sheetFormatPr defaultColWidth="14.42578125" defaultRowHeight="15.75" customHeight="1"/>
  <sheetData>
    <row r="1" spans="1:9" ht="12.75">
      <c r="A1" s="4" t="s">
        <v>0</v>
      </c>
      <c r="B1" s="4">
        <v>0</v>
      </c>
      <c r="C1" s="4">
        <v>1</v>
      </c>
      <c r="D1" s="4">
        <v>2</v>
      </c>
      <c r="E1" s="4">
        <v>3</v>
      </c>
      <c r="F1" s="4">
        <v>4</v>
      </c>
      <c r="G1" s="4">
        <v>5</v>
      </c>
      <c r="H1" s="4" t="s">
        <v>25</v>
      </c>
    </row>
    <row r="2" spans="1:9" ht="12.75">
      <c r="A2" s="3">
        <v>0.05</v>
      </c>
      <c r="B2" s="4">
        <v>-20000</v>
      </c>
      <c r="C2" s="7">
        <f>((-$B$2))*$A$2</f>
        <v>1000</v>
      </c>
      <c r="D2" s="7">
        <f>((-$B$2)+SUM($C$2:C2))*$A$2</f>
        <v>1050</v>
      </c>
      <c r="E2" s="7">
        <f>((-$B$2)+SUM($C$2:D2))*$A$2</f>
        <v>1102.5</v>
      </c>
      <c r="F2" s="7">
        <f>((-$B$2)+SUM($C$2:E2))*$A$2</f>
        <v>1157.625</v>
      </c>
      <c r="G2" s="7">
        <f>((-$B$2)+SUM($C$2:F2))*(1+$A$2)</f>
        <v>25525.631250000002</v>
      </c>
      <c r="H2" s="8">
        <f t="array" ref="H2">B2+NPV(A2,C2:G2)</f>
        <v>3809.5238095238055</v>
      </c>
      <c r="I2" s="3">
        <f>IRR(B2:G2)</f>
        <v>9.074659532238738E-2</v>
      </c>
    </row>
    <row r="3" spans="1:9" ht="12.75">
      <c r="B3" s="4">
        <f>B2*(1+$A$2)^-B1</f>
        <v>-20000</v>
      </c>
      <c r="C3" s="4">
        <f>C2*(1+$A$2)^-$C$1</f>
        <v>952.38095238095229</v>
      </c>
      <c r="D3" s="4">
        <f>D2*(1+$A$2)^-D1</f>
        <v>952.38095238095229</v>
      </c>
      <c r="E3" s="4">
        <f>E2*(1+$A$2)^-E1</f>
        <v>952.38095238095229</v>
      </c>
      <c r="F3" s="4">
        <f>F2*(1+$A$2)^-F1</f>
        <v>952.38095238095241</v>
      </c>
      <c r="G3" s="4">
        <f>G2*(1+$A$2)^-G1</f>
        <v>20000</v>
      </c>
      <c r="H3" s="7">
        <f>SUM(B3:G3)</f>
        <v>3809.5238095238146</v>
      </c>
    </row>
    <row r="4" spans="1:9" ht="12.75">
      <c r="A4" s="4" t="s">
        <v>6</v>
      </c>
      <c r="B4" s="4">
        <v>-20000</v>
      </c>
      <c r="C4" s="4">
        <v>5000</v>
      </c>
      <c r="D4" s="4">
        <v>4000</v>
      </c>
      <c r="E4" s="4">
        <v>4000</v>
      </c>
      <c r="F4" s="4">
        <v>4000</v>
      </c>
      <c r="G4" s="4">
        <v>4000</v>
      </c>
      <c r="H4" s="8">
        <f t="array" ref="H4">B4+NPV(A2,C4:G4)</f>
        <v>-1729.7123650957692</v>
      </c>
      <c r="I4" s="1">
        <f>IRR(B4:G4)</f>
        <v>1.7042694767353428E-2</v>
      </c>
    </row>
    <row r="5" spans="1:9" ht="12.75">
      <c r="A5" s="3"/>
      <c r="B5" s="4">
        <v>-20000</v>
      </c>
      <c r="C5" s="4">
        <f>C4*(1+$A$2)^-C1</f>
        <v>4761.9047619047615</v>
      </c>
      <c r="D5" s="4">
        <f>D4*(1+$A$2)^-D1</f>
        <v>3628.1179138321991</v>
      </c>
      <c r="E5" s="4">
        <f>E4*(1+$A$2)^-E1</f>
        <v>3455.3503941259041</v>
      </c>
      <c r="F5" s="4">
        <f>F4*(1+$A$2)^-F1</f>
        <v>3290.8098991675279</v>
      </c>
      <c r="G5" s="4">
        <f>G4*(1+$A$2)^-G1</f>
        <v>3134.104665873836</v>
      </c>
      <c r="H5" s="7">
        <f>SUM(B5:G5)</f>
        <v>-1729.7123650957719</v>
      </c>
    </row>
    <row r="6" spans="1:9" ht="12.75">
      <c r="A6" s="4" t="s">
        <v>7</v>
      </c>
      <c r="B6" s="4">
        <v>-20000</v>
      </c>
      <c r="C6" s="4">
        <v>2500</v>
      </c>
      <c r="D6" s="4">
        <v>4000</v>
      </c>
      <c r="E6" s="4">
        <v>5000</v>
      </c>
      <c r="F6" s="4">
        <v>6000</v>
      </c>
      <c r="G6" s="4">
        <v>5500</v>
      </c>
      <c r="H6" s="8">
        <f t="array" ref="H6">B6+ NPV(A2,C6:G6)</f>
        <v>-426.13294823022443</v>
      </c>
      <c r="I6" s="1">
        <f>IRR(B6:G6)</f>
        <v>4.3106323385253553E-2</v>
      </c>
    </row>
    <row r="7" spans="1:9" ht="12.75">
      <c r="B7" s="4">
        <v>-20000</v>
      </c>
      <c r="C7" s="4">
        <f>C6*(1+$A$2)^-C1</f>
        <v>2380.9523809523807</v>
      </c>
      <c r="D7" s="4">
        <f>D6*(1+$A$2)^-D1</f>
        <v>3628.1179138321991</v>
      </c>
      <c r="E7" s="4">
        <f>E6*(1+$A$2)^-E1</f>
        <v>4319.1879926573802</v>
      </c>
      <c r="F7" s="4">
        <f>F6*(1+$A$2)^-F1</f>
        <v>4936.2148487512914</v>
      </c>
      <c r="G7" s="4">
        <f>G6*(1+$A$2)^-G1</f>
        <v>4309.3939155765247</v>
      </c>
      <c r="H7" s="7">
        <f>SUM(B7:G7)</f>
        <v>-426.13294823022352</v>
      </c>
    </row>
    <row r="13" spans="1:9" ht="15.75" customHeight="1">
      <c r="E13">
        <f>700</f>
        <v>700</v>
      </c>
    </row>
    <row r="14" spans="1:9" ht="15.75" customHeight="1">
      <c r="E14">
        <f>E13*10%</f>
        <v>70</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FACBC-2EDB-4614-B66D-7DBA4EC32904}">
  <dimension ref="A1:Z1030"/>
  <sheetViews>
    <sheetView showGridLines="0" zoomScale="90" zoomScaleNormal="90" workbookViewId="0">
      <selection activeCell="F15" sqref="F15"/>
    </sheetView>
  </sheetViews>
  <sheetFormatPr defaultColWidth="14.42578125" defaultRowHeight="15" customHeight="1"/>
  <cols>
    <col min="1" max="1" width="41.5703125" style="1323" customWidth="1"/>
    <col min="2" max="2" width="15.85546875" style="1323" customWidth="1"/>
    <col min="3" max="3" width="16.5703125" style="1323" customWidth="1"/>
    <col min="4" max="4" width="15" style="1323" customWidth="1"/>
    <col min="5" max="5" width="18.140625" style="1323" customWidth="1"/>
    <col min="6" max="7" width="16.140625" style="1323" customWidth="1"/>
    <col min="8" max="26" width="9.140625" style="1323" customWidth="1"/>
    <col min="27" max="16384" width="14.42578125" style="1323"/>
  </cols>
  <sheetData>
    <row r="1" spans="1:26" ht="36" customHeight="1">
      <c r="A1" s="1321"/>
      <c r="B1" s="1321"/>
      <c r="C1" s="1322"/>
      <c r="D1" s="1322"/>
      <c r="E1" s="1322"/>
      <c r="F1" s="1322"/>
      <c r="G1" s="1322"/>
    </row>
    <row r="2" spans="1:26" ht="36" customHeight="1">
      <c r="A2" s="1324" t="s">
        <v>1294</v>
      </c>
      <c r="B2" s="1324"/>
      <c r="C2" s="1322">
        <f>10000*0.35</f>
        <v>3500</v>
      </c>
      <c r="D2" s="1322">
        <f>10000*0.4</f>
        <v>4000</v>
      </c>
      <c r="E2" s="1322">
        <f>10000*0.45</f>
        <v>4500</v>
      </c>
      <c r="F2" s="1322">
        <f>M4*0.5</f>
        <v>5600.0000000000009</v>
      </c>
      <c r="G2" s="1322">
        <f>F2</f>
        <v>5600.0000000000009</v>
      </c>
      <c r="K2" s="1325" t="s">
        <v>1295</v>
      </c>
    </row>
    <row r="3" spans="1:26" ht="36" customHeight="1">
      <c r="A3" s="1324" t="s">
        <v>1296</v>
      </c>
      <c r="B3" s="1326"/>
      <c r="C3" s="1327">
        <f>C2*K9</f>
        <v>7000000</v>
      </c>
      <c r="D3" s="1327">
        <f>D2*L9</f>
        <v>8400000</v>
      </c>
      <c r="E3" s="1327">
        <f>E2*M9</f>
        <v>9922500</v>
      </c>
      <c r="F3" s="1327">
        <f>F2*N9</f>
        <v>12965400.000000002</v>
      </c>
      <c r="G3" s="1327">
        <f>G2*O9</f>
        <v>13613670.000000004</v>
      </c>
      <c r="K3" s="1325" t="s">
        <v>1297</v>
      </c>
    </row>
    <row r="4" spans="1:26" ht="36" customHeight="1">
      <c r="A4" s="1328" t="s">
        <v>1298</v>
      </c>
      <c r="B4" s="1328" t="s">
        <v>818</v>
      </c>
      <c r="C4" s="1328" t="s">
        <v>451</v>
      </c>
      <c r="D4" s="1328" t="s">
        <v>632</v>
      </c>
      <c r="E4" s="1328" t="s">
        <v>793</v>
      </c>
      <c r="F4" s="1328" t="s">
        <v>794</v>
      </c>
      <c r="G4" s="1328" t="s">
        <v>795</v>
      </c>
      <c r="K4" s="1325" t="s">
        <v>1299</v>
      </c>
      <c r="M4" s="1323">
        <f>10000*1.12</f>
        <v>11200.000000000002</v>
      </c>
    </row>
    <row r="5" spans="1:26">
      <c r="A5" s="1329" t="s">
        <v>1300</v>
      </c>
      <c r="B5" s="1330"/>
      <c r="C5" s="1330"/>
      <c r="D5" s="1330"/>
      <c r="E5" s="1330"/>
      <c r="F5" s="1330"/>
      <c r="G5" s="1330"/>
    </row>
    <row r="6" spans="1:26">
      <c r="A6" s="1331" t="s">
        <v>1296</v>
      </c>
      <c r="B6" s="1332"/>
      <c r="C6" s="1333">
        <f>C3</f>
        <v>7000000</v>
      </c>
      <c r="D6" s="1332">
        <f>D3</f>
        <v>8400000</v>
      </c>
      <c r="E6" s="1332">
        <f>E3</f>
        <v>9922500</v>
      </c>
      <c r="F6" s="1332">
        <f>F3</f>
        <v>12965400.000000002</v>
      </c>
      <c r="G6" s="1332">
        <f>G3</f>
        <v>13613670.000000004</v>
      </c>
      <c r="H6" s="1334"/>
      <c r="I6" s="1334"/>
      <c r="J6" s="1334"/>
      <c r="K6" s="1334"/>
      <c r="L6" s="1334"/>
      <c r="M6" s="1334"/>
      <c r="N6" s="1334"/>
      <c r="O6" s="1334"/>
      <c r="P6" s="1334"/>
      <c r="Q6" s="1334"/>
      <c r="R6" s="1334"/>
      <c r="S6" s="1334"/>
      <c r="T6" s="1334"/>
      <c r="U6" s="1334"/>
      <c r="V6" s="1334"/>
      <c r="W6" s="1334"/>
      <c r="X6" s="1334"/>
      <c r="Y6" s="1334"/>
      <c r="Z6" s="1334"/>
    </row>
    <row r="7" spans="1:26">
      <c r="A7" s="1334" t="s">
        <v>1301</v>
      </c>
      <c r="B7" s="1332"/>
      <c r="C7" s="1335"/>
      <c r="D7" s="1335"/>
      <c r="E7" s="1335"/>
      <c r="F7" s="1335"/>
      <c r="G7" s="1332">
        <f>B49*-0.3</f>
        <v>48000</v>
      </c>
      <c r="H7" s="1334"/>
      <c r="I7" s="1334"/>
      <c r="J7" s="1334"/>
      <c r="K7" s="1334"/>
      <c r="L7" s="1334"/>
      <c r="M7" s="1334"/>
      <c r="N7" s="1334"/>
      <c r="O7" s="1334"/>
      <c r="P7" s="1334"/>
      <c r="Q7" s="1334"/>
      <c r="R7" s="1334"/>
      <c r="S7" s="1334"/>
      <c r="T7" s="1334"/>
      <c r="U7" s="1334"/>
      <c r="V7" s="1334"/>
      <c r="W7" s="1334"/>
      <c r="X7" s="1334"/>
      <c r="Y7" s="1334"/>
      <c r="Z7" s="1334"/>
    </row>
    <row r="8" spans="1:26">
      <c r="A8" s="1325" t="s">
        <v>1302</v>
      </c>
      <c r="G8" s="1332">
        <f>B50*-0.6</f>
        <v>2640000</v>
      </c>
      <c r="H8" s="1334"/>
      <c r="I8" s="1334"/>
      <c r="J8" s="1334"/>
      <c r="K8" s="1334" t="s">
        <v>1303</v>
      </c>
      <c r="L8" s="1334"/>
      <c r="M8" s="1334"/>
      <c r="N8" s="1334"/>
      <c r="O8" s="1334"/>
      <c r="P8" s="1334"/>
      <c r="Q8" s="1334"/>
      <c r="R8" s="1334"/>
      <c r="S8" s="1334"/>
      <c r="T8" s="1334"/>
      <c r="U8" s="1334"/>
      <c r="V8" s="1334"/>
      <c r="W8" s="1334"/>
      <c r="X8" s="1334"/>
      <c r="Y8" s="1334"/>
      <c r="Z8" s="1334"/>
    </row>
    <row r="9" spans="1:26">
      <c r="A9" s="1325" t="s">
        <v>1304</v>
      </c>
      <c r="G9" s="1332">
        <f>B51*-0.6</f>
        <v>360000</v>
      </c>
      <c r="H9" s="1334"/>
      <c r="I9" s="1334"/>
      <c r="J9" s="1334"/>
      <c r="K9" s="1334">
        <v>2000</v>
      </c>
      <c r="L9" s="1334">
        <f>2000*1.05</f>
        <v>2100</v>
      </c>
      <c r="M9" s="1334">
        <f>L9*1.05</f>
        <v>2205</v>
      </c>
      <c r="N9" s="1334">
        <f>M9*1.05</f>
        <v>2315.25</v>
      </c>
      <c r="O9" s="1334">
        <f>N9*1.05</f>
        <v>2431.0125000000003</v>
      </c>
      <c r="P9" s="1334"/>
      <c r="Q9" s="1334"/>
      <c r="R9" s="1334"/>
      <c r="S9" s="1334"/>
      <c r="T9" s="1334"/>
      <c r="U9" s="1334"/>
      <c r="V9" s="1334"/>
      <c r="W9" s="1334"/>
      <c r="X9" s="1334"/>
      <c r="Y9" s="1334"/>
      <c r="Z9" s="1334"/>
    </row>
    <row r="10" spans="1:26">
      <c r="A10" s="1325" t="s">
        <v>1305</v>
      </c>
      <c r="G10" s="1332">
        <f>B52*-0.1</f>
        <v>180000</v>
      </c>
      <c r="H10" s="1334"/>
      <c r="I10" s="1334"/>
      <c r="J10" s="1334"/>
      <c r="K10" s="1334"/>
      <c r="L10" s="1334"/>
      <c r="M10" s="1334"/>
      <c r="N10" s="1334"/>
      <c r="O10" s="1334"/>
      <c r="P10" s="1334"/>
      <c r="Q10" s="1334"/>
      <c r="R10" s="1334"/>
      <c r="S10" s="1334"/>
      <c r="T10" s="1334"/>
      <c r="U10" s="1334"/>
      <c r="V10" s="1334"/>
      <c r="W10" s="1334"/>
      <c r="X10" s="1334"/>
      <c r="Y10" s="1334"/>
      <c r="Z10" s="1334"/>
    </row>
    <row r="11" spans="1:26">
      <c r="A11" s="1325" t="s">
        <v>1306</v>
      </c>
      <c r="G11" s="1332">
        <f>E53*-0.6</f>
        <v>600000</v>
      </c>
      <c r="H11" s="1334"/>
      <c r="I11" s="1334"/>
      <c r="J11" s="1334"/>
      <c r="K11" s="1334"/>
      <c r="L11" s="1334"/>
      <c r="M11" s="1334"/>
      <c r="N11" s="1334"/>
      <c r="O11" s="1334"/>
      <c r="P11" s="1334"/>
      <c r="Q11" s="1334"/>
      <c r="R11" s="1334"/>
      <c r="S11" s="1334"/>
      <c r="T11" s="1334"/>
      <c r="U11" s="1334"/>
      <c r="V11" s="1334"/>
      <c r="W11" s="1334"/>
      <c r="X11" s="1334"/>
      <c r="Y11" s="1334"/>
      <c r="Z11" s="1334"/>
    </row>
    <row r="12" spans="1:26">
      <c r="A12" s="1325" t="s">
        <v>1307</v>
      </c>
      <c r="G12" s="1332">
        <f>E54*-0.6</f>
        <v>72000</v>
      </c>
      <c r="H12" s="1334"/>
      <c r="I12" s="1334"/>
      <c r="J12" s="1334"/>
      <c r="K12" s="1334"/>
      <c r="L12" s="1334"/>
      <c r="M12" s="1334"/>
      <c r="N12" s="1334"/>
      <c r="O12" s="1334"/>
      <c r="P12" s="1334"/>
      <c r="Q12" s="1334"/>
      <c r="R12" s="1334"/>
      <c r="S12" s="1334"/>
      <c r="T12" s="1334"/>
      <c r="U12" s="1334"/>
      <c r="V12" s="1334"/>
      <c r="W12" s="1334"/>
      <c r="X12" s="1334"/>
      <c r="Y12" s="1334"/>
      <c r="Z12" s="1334"/>
    </row>
    <row r="13" spans="1:26">
      <c r="G13" s="1332"/>
      <c r="H13" s="1334"/>
      <c r="I13" s="1334"/>
      <c r="J13" s="1334"/>
      <c r="K13" s="1334"/>
      <c r="L13" s="1334"/>
      <c r="M13" s="1334"/>
      <c r="N13" s="1334"/>
      <c r="O13" s="1334"/>
      <c r="P13" s="1334"/>
      <c r="Q13" s="1334"/>
      <c r="R13" s="1334"/>
      <c r="S13" s="1334"/>
      <c r="T13" s="1334"/>
      <c r="U13" s="1334"/>
      <c r="V13" s="1334"/>
      <c r="W13" s="1334"/>
      <c r="X13" s="1334"/>
      <c r="Y13" s="1334"/>
      <c r="Z13" s="1334"/>
    </row>
    <row r="14" spans="1:26">
      <c r="A14" s="1329" t="s">
        <v>1308</v>
      </c>
      <c r="B14" s="1336"/>
      <c r="C14" s="1336"/>
      <c r="D14" s="1336"/>
      <c r="E14" s="1336"/>
      <c r="F14" s="1336"/>
      <c r="G14" s="1336"/>
    </row>
    <row r="15" spans="1:26">
      <c r="A15" s="1337" t="s">
        <v>1309</v>
      </c>
      <c r="B15" s="1332"/>
      <c r="C15" s="1335">
        <f>-200000*0.4</f>
        <v>-80000</v>
      </c>
      <c r="D15" s="1335">
        <f>-200000*0.4</f>
        <v>-80000</v>
      </c>
      <c r="E15" s="1335">
        <f>-200000*0.4</f>
        <v>-80000</v>
      </c>
      <c r="F15" s="1335">
        <f>-200000*0.4</f>
        <v>-80000</v>
      </c>
      <c r="G15" s="1335">
        <f>-200000*0.4</f>
        <v>-80000</v>
      </c>
    </row>
    <row r="16" spans="1:26">
      <c r="A16" s="1337" t="s">
        <v>1310</v>
      </c>
      <c r="B16" s="1332"/>
      <c r="C16" s="1332">
        <f>-200*C2-120*C2</f>
        <v>-1120000</v>
      </c>
      <c r="D16" s="1332">
        <f>-200*D2-120*D2</f>
        <v>-1280000</v>
      </c>
      <c r="E16" s="1332">
        <f>-200*E2-120*E2</f>
        <v>-1440000</v>
      </c>
      <c r="F16" s="1332">
        <f>-200*F2-120*F2</f>
        <v>-1792000.0000000005</v>
      </c>
      <c r="G16" s="1332">
        <f>-200*G2-120*G2</f>
        <v>-1792000.0000000005</v>
      </c>
      <c r="H16" s="1334" t="s">
        <v>1311</v>
      </c>
      <c r="I16" s="1334"/>
      <c r="J16" s="1334"/>
      <c r="K16" s="1334"/>
      <c r="L16" s="1334"/>
      <c r="M16" s="1334"/>
      <c r="N16" s="1334"/>
      <c r="O16" s="1334"/>
      <c r="P16" s="1334"/>
      <c r="Q16" s="1334"/>
      <c r="R16" s="1334"/>
      <c r="S16" s="1334"/>
      <c r="T16" s="1334"/>
      <c r="U16" s="1334"/>
      <c r="V16" s="1334"/>
      <c r="W16" s="1334"/>
      <c r="X16" s="1334"/>
      <c r="Y16" s="1334"/>
      <c r="Z16" s="1334"/>
    </row>
    <row r="17" spans="1:26">
      <c r="A17" s="1334" t="s">
        <v>1312</v>
      </c>
      <c r="B17" s="1332"/>
      <c r="C17" s="1335">
        <f>-250000*0.3</f>
        <v>-75000</v>
      </c>
      <c r="D17" s="1335">
        <f>-250000*0.3</f>
        <v>-75000</v>
      </c>
      <c r="E17" s="1335">
        <f>-250000*0.3</f>
        <v>-75000</v>
      </c>
      <c r="F17" s="1335">
        <f>-250000*0.3</f>
        <v>-75000</v>
      </c>
      <c r="G17" s="1335">
        <f>-250000*0.3</f>
        <v>-75000</v>
      </c>
      <c r="H17" s="1334"/>
      <c r="I17" s="1334"/>
      <c r="J17" s="1334"/>
      <c r="K17" s="1334"/>
      <c r="L17" s="1334"/>
      <c r="M17" s="1334"/>
      <c r="N17" s="1334"/>
      <c r="O17" s="1334"/>
      <c r="P17" s="1334"/>
      <c r="Q17" s="1334"/>
      <c r="R17" s="1334"/>
      <c r="S17" s="1334"/>
      <c r="T17" s="1334"/>
      <c r="U17" s="1334"/>
      <c r="V17" s="1334"/>
      <c r="W17" s="1334"/>
      <c r="X17" s="1334"/>
      <c r="Y17" s="1334"/>
      <c r="Z17" s="1334"/>
    </row>
    <row r="18" spans="1:26">
      <c r="A18" s="1334" t="s">
        <v>1313</v>
      </c>
      <c r="B18" s="1332"/>
      <c r="C18" s="1332">
        <f>-3000*12</f>
        <v>-36000</v>
      </c>
      <c r="D18" s="1332">
        <f>-3000*12</f>
        <v>-36000</v>
      </c>
      <c r="E18" s="1332">
        <f>-3000*12</f>
        <v>-36000</v>
      </c>
      <c r="F18" s="1332">
        <f>-3000*12</f>
        <v>-36000</v>
      </c>
      <c r="G18" s="1332">
        <f>-3000*12</f>
        <v>-36000</v>
      </c>
      <c r="H18" s="1334"/>
      <c r="I18" s="1334"/>
      <c r="J18" s="1334"/>
      <c r="K18" s="1334"/>
      <c r="L18" s="1334"/>
      <c r="M18" s="1334"/>
      <c r="N18" s="1334"/>
      <c r="O18" s="1334"/>
      <c r="P18" s="1334"/>
      <c r="Q18" s="1334"/>
      <c r="R18" s="1334"/>
      <c r="S18" s="1334"/>
      <c r="T18" s="1334"/>
      <c r="U18" s="1334"/>
      <c r="V18" s="1334"/>
      <c r="W18" s="1334"/>
      <c r="X18" s="1334"/>
      <c r="Y18" s="1334"/>
      <c r="Z18" s="1334"/>
    </row>
    <row r="19" spans="1:26">
      <c r="A19" s="1334" t="s">
        <v>1314</v>
      </c>
      <c r="B19" s="1332"/>
      <c r="C19" s="1332">
        <v>-5975.15</v>
      </c>
      <c r="D19" s="1332">
        <v>-4481</v>
      </c>
      <c r="E19" s="1332">
        <v>-2987</v>
      </c>
      <c r="F19" s="1332">
        <v>-1493</v>
      </c>
      <c r="G19" s="1332"/>
      <c r="H19" s="1334"/>
      <c r="I19" s="1334"/>
      <c r="J19" s="1334"/>
      <c r="K19" s="1334"/>
      <c r="L19" s="1334"/>
      <c r="M19" s="1334"/>
      <c r="N19" s="1334"/>
      <c r="O19" s="1334"/>
      <c r="P19" s="1334"/>
      <c r="Q19" s="1334"/>
      <c r="R19" s="1334"/>
      <c r="S19" s="1334"/>
      <c r="T19" s="1334"/>
      <c r="U19" s="1334"/>
      <c r="V19" s="1334"/>
      <c r="W19" s="1334"/>
      <c r="X19" s="1334"/>
      <c r="Y19" s="1334"/>
      <c r="Z19" s="1334"/>
    </row>
    <row r="20" spans="1:26">
      <c r="A20" s="1325"/>
      <c r="B20" s="1332"/>
      <c r="C20" s="1338"/>
      <c r="D20" s="1338"/>
      <c r="E20" s="1338"/>
      <c r="F20" s="1338"/>
      <c r="G20" s="1338"/>
      <c r="H20" s="1334"/>
      <c r="I20" s="1334"/>
      <c r="J20" s="1334"/>
      <c r="K20" s="1334"/>
      <c r="L20" s="1334"/>
      <c r="M20" s="1334"/>
      <c r="N20" s="1334"/>
      <c r="O20" s="1334"/>
      <c r="P20" s="1334"/>
      <c r="Q20" s="1334"/>
      <c r="R20" s="1334"/>
      <c r="S20" s="1334"/>
      <c r="T20" s="1334"/>
      <c r="U20" s="1334"/>
      <c r="V20" s="1334"/>
      <c r="W20" s="1334"/>
      <c r="X20" s="1334"/>
      <c r="Y20" s="1334"/>
      <c r="Z20" s="1334"/>
    </row>
    <row r="21" spans="1:26">
      <c r="A21" s="1325"/>
      <c r="B21" s="1332"/>
      <c r="C21" s="1338"/>
      <c r="D21" s="1338"/>
      <c r="E21" s="1338"/>
      <c r="F21" s="1338"/>
      <c r="G21" s="1338"/>
      <c r="H21" s="1334"/>
      <c r="I21" s="1334"/>
      <c r="J21" s="1334"/>
      <c r="K21" s="1334"/>
      <c r="L21" s="1334"/>
      <c r="M21" s="1334"/>
      <c r="N21" s="1334"/>
      <c r="O21" s="1334"/>
      <c r="P21" s="1334"/>
      <c r="Q21" s="1334"/>
      <c r="R21" s="1334"/>
      <c r="S21" s="1334"/>
      <c r="T21" s="1334"/>
      <c r="U21" s="1334"/>
      <c r="V21" s="1334"/>
      <c r="W21" s="1334"/>
      <c r="X21" s="1334"/>
      <c r="Y21" s="1334"/>
      <c r="Z21" s="1334"/>
    </row>
    <row r="22" spans="1:26">
      <c r="A22" s="1325"/>
      <c r="B22" s="1332"/>
      <c r="C22" s="1338"/>
      <c r="D22" s="1338"/>
      <c r="E22" s="1338"/>
      <c r="F22" s="1338"/>
      <c r="G22" s="1338"/>
      <c r="H22" s="1334"/>
      <c r="I22" s="1334"/>
      <c r="J22" s="1334"/>
      <c r="K22" s="1334"/>
      <c r="L22" s="1334"/>
      <c r="M22" s="1334"/>
      <c r="N22" s="1334"/>
      <c r="O22" s="1334"/>
      <c r="P22" s="1334"/>
      <c r="Q22" s="1334"/>
      <c r="R22" s="1334"/>
      <c r="S22" s="1334"/>
      <c r="T22" s="1334"/>
      <c r="U22" s="1334"/>
      <c r="V22" s="1334"/>
      <c r="W22" s="1334"/>
      <c r="X22" s="1334"/>
      <c r="Y22" s="1334"/>
      <c r="Z22" s="1334"/>
    </row>
    <row r="23" spans="1:26">
      <c r="A23" s="1325"/>
      <c r="B23" s="1332"/>
      <c r="C23" s="1338"/>
      <c r="D23" s="1338"/>
      <c r="E23" s="1338"/>
      <c r="F23" s="1338"/>
      <c r="G23" s="1338"/>
      <c r="H23" s="1334"/>
      <c r="I23" s="1334"/>
      <c r="J23" s="1334"/>
      <c r="K23" s="1334"/>
      <c r="L23" s="1334"/>
      <c r="M23" s="1334"/>
      <c r="N23" s="1334"/>
      <c r="O23" s="1334"/>
      <c r="P23" s="1334"/>
      <c r="Q23" s="1334"/>
      <c r="R23" s="1334"/>
      <c r="S23" s="1334"/>
      <c r="T23" s="1334"/>
      <c r="U23" s="1334"/>
      <c r="V23" s="1334"/>
      <c r="W23" s="1334"/>
      <c r="X23" s="1334"/>
      <c r="Y23" s="1334"/>
      <c r="Z23" s="1334"/>
    </row>
    <row r="24" spans="1:26">
      <c r="A24" s="1325"/>
      <c r="B24" s="1332"/>
      <c r="C24" s="1338"/>
      <c r="D24" s="1338"/>
      <c r="E24" s="1338"/>
      <c r="F24" s="1338"/>
      <c r="G24" s="1338"/>
      <c r="H24" s="1334"/>
      <c r="I24" s="1334"/>
      <c r="J24" s="1334"/>
      <c r="K24" s="1334"/>
      <c r="L24" s="1334"/>
      <c r="M24" s="1334"/>
      <c r="N24" s="1334"/>
      <c r="O24" s="1334"/>
      <c r="P24" s="1334"/>
      <c r="Q24" s="1334"/>
      <c r="R24" s="1334"/>
      <c r="S24" s="1334"/>
      <c r="T24" s="1334"/>
      <c r="U24" s="1334"/>
      <c r="V24" s="1334"/>
      <c r="W24" s="1334"/>
      <c r="X24" s="1334"/>
      <c r="Y24" s="1334"/>
      <c r="Z24" s="1334"/>
    </row>
    <row r="25" spans="1:26">
      <c r="A25" s="1325"/>
      <c r="B25" s="1332"/>
      <c r="C25" s="1338"/>
      <c r="D25" s="1338"/>
      <c r="E25" s="1338"/>
      <c r="F25" s="1338"/>
      <c r="G25" s="1338"/>
      <c r="H25" s="1334"/>
      <c r="I25" s="1334"/>
      <c r="J25" s="1334"/>
      <c r="K25" s="1334"/>
      <c r="L25" s="1334"/>
      <c r="M25" s="1334"/>
      <c r="N25" s="1334"/>
      <c r="O25" s="1334"/>
      <c r="P25" s="1334"/>
      <c r="Q25" s="1334"/>
      <c r="R25" s="1334"/>
      <c r="S25" s="1334"/>
      <c r="T25" s="1334"/>
      <c r="U25" s="1334"/>
      <c r="V25" s="1334"/>
      <c r="W25" s="1334"/>
      <c r="X25" s="1334"/>
      <c r="Y25" s="1334"/>
      <c r="Z25" s="1334"/>
    </row>
    <row r="26" spans="1:26">
      <c r="A26" s="1325"/>
      <c r="B26" s="1332"/>
      <c r="C26" s="1338"/>
      <c r="D26" s="1338"/>
      <c r="E26" s="1338"/>
      <c r="F26" s="1338"/>
      <c r="G26" s="1338"/>
      <c r="H26" s="1334"/>
      <c r="I26" s="1334"/>
      <c r="J26" s="1334"/>
      <c r="K26" s="1334"/>
      <c r="L26" s="1334"/>
      <c r="M26" s="1334"/>
      <c r="N26" s="1334"/>
      <c r="O26" s="1334"/>
      <c r="P26" s="1334"/>
      <c r="Q26" s="1334"/>
      <c r="R26" s="1334"/>
      <c r="S26" s="1334"/>
      <c r="T26" s="1334"/>
      <c r="U26" s="1334"/>
      <c r="V26" s="1334"/>
      <c r="W26" s="1334"/>
      <c r="X26" s="1334"/>
      <c r="Y26" s="1334"/>
      <c r="Z26" s="1334"/>
    </row>
    <row r="27" spans="1:26">
      <c r="A27" s="1325"/>
      <c r="B27" s="1332"/>
      <c r="C27" s="1338"/>
      <c r="D27" s="1338"/>
      <c r="E27" s="1338"/>
      <c r="F27" s="1338"/>
      <c r="G27" s="1338"/>
      <c r="H27" s="1334"/>
      <c r="I27" s="1334"/>
      <c r="J27" s="1334"/>
      <c r="K27" s="1334"/>
      <c r="L27" s="1334"/>
      <c r="M27" s="1334"/>
      <c r="N27" s="1334"/>
      <c r="O27" s="1334"/>
      <c r="P27" s="1334"/>
      <c r="Q27" s="1334"/>
      <c r="R27" s="1334"/>
      <c r="S27" s="1334"/>
      <c r="T27" s="1334"/>
      <c r="U27" s="1334"/>
      <c r="V27" s="1334"/>
      <c r="W27" s="1334"/>
      <c r="X27" s="1334"/>
      <c r="Y27" s="1334"/>
      <c r="Z27" s="1334"/>
    </row>
    <row r="28" spans="1:26">
      <c r="A28" s="1325"/>
      <c r="B28" s="1332"/>
      <c r="C28" s="1338"/>
      <c r="D28" s="1338"/>
      <c r="E28" s="1338"/>
      <c r="F28" s="1338"/>
      <c r="G28" s="1338"/>
      <c r="H28" s="1334"/>
      <c r="I28" s="1334"/>
      <c r="J28" s="1334"/>
      <c r="K28" s="1334"/>
      <c r="L28" s="1334"/>
      <c r="M28" s="1334"/>
      <c r="N28" s="1334"/>
      <c r="O28" s="1334"/>
      <c r="P28" s="1334"/>
      <c r="Q28" s="1334"/>
      <c r="R28" s="1334"/>
      <c r="S28" s="1334"/>
      <c r="T28" s="1334"/>
      <c r="U28" s="1334"/>
      <c r="V28" s="1334"/>
      <c r="W28" s="1334"/>
      <c r="X28" s="1334"/>
      <c r="Y28" s="1334"/>
      <c r="Z28" s="1334"/>
    </row>
    <row r="29" spans="1:26">
      <c r="A29" s="1329" t="s">
        <v>1315</v>
      </c>
      <c r="B29" s="1339"/>
      <c r="C29" s="1339"/>
      <c r="D29" s="1339"/>
      <c r="E29" s="1339"/>
      <c r="F29" s="1339"/>
      <c r="G29" s="1339"/>
    </row>
    <row r="30" spans="1:26">
      <c r="A30" s="1337" t="s">
        <v>1316</v>
      </c>
      <c r="B30" s="1332"/>
      <c r="C30" s="1332">
        <f>$B$49/5</f>
        <v>-32000</v>
      </c>
      <c r="D30" s="1332">
        <f>$B$49/5</f>
        <v>-32000</v>
      </c>
      <c r="E30" s="1332">
        <f>$B$49/5</f>
        <v>-32000</v>
      </c>
      <c r="F30" s="1332">
        <f>$B$49/5</f>
        <v>-32000</v>
      </c>
      <c r="G30" s="1332">
        <f>$B$49/5</f>
        <v>-32000</v>
      </c>
    </row>
    <row r="31" spans="1:26">
      <c r="A31" s="1337" t="s">
        <v>1317</v>
      </c>
      <c r="B31" s="1332"/>
      <c r="C31" s="1332">
        <f>$B$50/5</f>
        <v>-880000</v>
      </c>
      <c r="D31" s="1332">
        <f>$B$50/5</f>
        <v>-880000</v>
      </c>
      <c r="E31" s="1332">
        <f>$B$50/5</f>
        <v>-880000</v>
      </c>
      <c r="F31" s="1332">
        <f>$B$50/5</f>
        <v>-880000</v>
      </c>
      <c r="G31" s="1332">
        <f>$B$50/5</f>
        <v>-880000</v>
      </c>
      <c r="H31" s="1334"/>
      <c r="I31" s="1334"/>
      <c r="J31" s="1334"/>
      <c r="K31" s="1334"/>
      <c r="L31" s="1334"/>
      <c r="M31" s="1334"/>
      <c r="N31" s="1334"/>
      <c r="O31" s="1334"/>
      <c r="P31" s="1334"/>
      <c r="Q31" s="1334"/>
      <c r="R31" s="1334"/>
      <c r="S31" s="1334"/>
      <c r="T31" s="1334"/>
      <c r="U31" s="1334"/>
      <c r="V31" s="1334"/>
      <c r="W31" s="1334"/>
      <c r="X31" s="1334"/>
      <c r="Y31" s="1334"/>
      <c r="Z31" s="1334"/>
    </row>
    <row r="32" spans="1:26">
      <c r="A32" s="1334" t="s">
        <v>1318</v>
      </c>
      <c r="B32" s="1332"/>
      <c r="C32" s="1332">
        <f>$B$51/5</f>
        <v>-120000</v>
      </c>
      <c r="D32" s="1332">
        <f>$B$51/5</f>
        <v>-120000</v>
      </c>
      <c r="E32" s="1332">
        <f>$B$51/5</f>
        <v>-120000</v>
      </c>
      <c r="F32" s="1332">
        <f>$B$51/5</f>
        <v>-120000</v>
      </c>
      <c r="G32" s="1332">
        <f>$B$51/5</f>
        <v>-120000</v>
      </c>
      <c r="H32" s="1334"/>
      <c r="I32" s="1334"/>
      <c r="J32" s="1334"/>
      <c r="K32" s="1334"/>
      <c r="L32" s="1334"/>
      <c r="M32" s="1334"/>
      <c r="N32" s="1334"/>
      <c r="O32" s="1334"/>
      <c r="P32" s="1334"/>
      <c r="Q32" s="1334"/>
      <c r="R32" s="1334"/>
      <c r="S32" s="1334"/>
      <c r="T32" s="1334"/>
      <c r="U32" s="1334"/>
      <c r="V32" s="1334"/>
      <c r="W32" s="1334"/>
      <c r="X32" s="1334"/>
      <c r="Y32" s="1334"/>
      <c r="Z32" s="1334"/>
    </row>
    <row r="33" spans="1:26">
      <c r="A33" s="1334" t="s">
        <v>1319</v>
      </c>
      <c r="B33" s="1332"/>
      <c r="C33" s="1332">
        <f>$B$52/5</f>
        <v>-360000</v>
      </c>
      <c r="D33" s="1332">
        <f>$B$52/5</f>
        <v>-360000</v>
      </c>
      <c r="E33" s="1332">
        <f>$B$52/5</f>
        <v>-360000</v>
      </c>
      <c r="F33" s="1332">
        <f>$B$52/5</f>
        <v>-360000</v>
      </c>
      <c r="G33" s="1332">
        <f>$B$52/5</f>
        <v>-360000</v>
      </c>
      <c r="H33" s="1334"/>
      <c r="I33" s="1334"/>
      <c r="J33" s="1334"/>
      <c r="K33" s="1334"/>
      <c r="L33" s="1334"/>
      <c r="M33" s="1334"/>
      <c r="N33" s="1334"/>
      <c r="O33" s="1334"/>
      <c r="P33" s="1334"/>
      <c r="Q33" s="1334"/>
      <c r="R33" s="1334"/>
      <c r="S33" s="1334"/>
      <c r="T33" s="1334"/>
      <c r="U33" s="1334"/>
      <c r="V33" s="1334"/>
      <c r="W33" s="1334"/>
      <c r="X33" s="1334"/>
      <c r="Y33" s="1334"/>
      <c r="Z33" s="1334"/>
    </row>
    <row r="34" spans="1:26">
      <c r="A34" s="1334" t="s">
        <v>1320</v>
      </c>
      <c r="B34" s="1332"/>
      <c r="C34" s="1332"/>
      <c r="D34" s="1332"/>
      <c r="E34" s="1332"/>
      <c r="F34" s="1332">
        <f>$E$53/5</f>
        <v>-200000</v>
      </c>
      <c r="G34" s="1332">
        <f>$E$53/5</f>
        <v>-200000</v>
      </c>
      <c r="H34" s="1334"/>
      <c r="I34" s="1334"/>
      <c r="J34" s="1334"/>
      <c r="K34" s="1334"/>
      <c r="L34" s="1334"/>
      <c r="M34" s="1334"/>
      <c r="N34" s="1334"/>
      <c r="O34" s="1334"/>
      <c r="P34" s="1334"/>
      <c r="Q34" s="1334"/>
      <c r="R34" s="1334"/>
      <c r="S34" s="1334"/>
      <c r="T34" s="1334"/>
      <c r="U34" s="1334"/>
      <c r="V34" s="1334"/>
      <c r="W34" s="1334"/>
      <c r="X34" s="1334"/>
      <c r="Y34" s="1334"/>
      <c r="Z34" s="1334"/>
    </row>
    <row r="35" spans="1:26">
      <c r="A35" s="1334" t="s">
        <v>1321</v>
      </c>
      <c r="B35" s="1332"/>
      <c r="C35" s="1332"/>
      <c r="D35" s="1332"/>
      <c r="E35" s="1332"/>
      <c r="F35" s="1332">
        <f>$E$54/5</f>
        <v>-24000</v>
      </c>
      <c r="G35" s="1332">
        <f>$E$54/5</f>
        <v>-24000</v>
      </c>
      <c r="H35" s="1334"/>
      <c r="I35" s="1334"/>
      <c r="J35" s="1334"/>
      <c r="K35" s="1334"/>
      <c r="L35" s="1334"/>
      <c r="M35" s="1334"/>
      <c r="N35" s="1334"/>
      <c r="O35" s="1334"/>
      <c r="P35" s="1334"/>
      <c r="Q35" s="1334"/>
      <c r="R35" s="1334"/>
      <c r="S35" s="1334"/>
      <c r="T35" s="1334"/>
      <c r="U35" s="1334"/>
      <c r="V35" s="1334"/>
      <c r="W35" s="1334"/>
      <c r="X35" s="1334"/>
      <c r="Y35" s="1334"/>
      <c r="Z35" s="1334"/>
    </row>
    <row r="36" spans="1:26">
      <c r="A36" s="1334" t="s">
        <v>1322</v>
      </c>
      <c r="B36" s="1332"/>
      <c r="C36" s="1332"/>
      <c r="D36" s="1332"/>
      <c r="E36" s="1332"/>
      <c r="F36" s="1332">
        <f>$E$53/3</f>
        <v>-333333.33333333331</v>
      </c>
      <c r="G36" s="1332">
        <f>$E$53/3</f>
        <v>-333333.33333333331</v>
      </c>
      <c r="H36" s="1334"/>
      <c r="I36" s="1334"/>
      <c r="J36" s="1334"/>
      <c r="K36" s="1334"/>
      <c r="L36" s="1334"/>
      <c r="M36" s="1334"/>
      <c r="N36" s="1334"/>
      <c r="O36" s="1334"/>
      <c r="P36" s="1334"/>
      <c r="Q36" s="1334"/>
      <c r="R36" s="1334"/>
      <c r="S36" s="1334"/>
      <c r="T36" s="1334"/>
      <c r="U36" s="1334"/>
      <c r="V36" s="1334"/>
      <c r="W36" s="1334"/>
      <c r="X36" s="1334"/>
      <c r="Y36" s="1334"/>
      <c r="Z36" s="1334"/>
    </row>
    <row r="37" spans="1:26" ht="15.75" thickBot="1">
      <c r="A37" s="1334" t="s">
        <v>1323</v>
      </c>
      <c r="B37" s="1332"/>
      <c r="C37" s="1332"/>
      <c r="D37" s="1332"/>
      <c r="E37" s="1332"/>
      <c r="F37" s="1332">
        <f>$E$54/3</f>
        <v>-40000</v>
      </c>
      <c r="G37" s="1332">
        <f>$E$54/3</f>
        <v>-40000</v>
      </c>
      <c r="H37" s="1334"/>
      <c r="I37" s="1334"/>
      <c r="J37" s="1334"/>
      <c r="K37" s="1334"/>
      <c r="L37" s="1334"/>
      <c r="M37" s="1334"/>
      <c r="N37" s="1334"/>
      <c r="O37" s="1334"/>
      <c r="P37" s="1334"/>
      <c r="Q37" s="1334"/>
      <c r="R37" s="1334"/>
      <c r="S37" s="1334"/>
      <c r="T37" s="1334"/>
      <c r="U37" s="1334"/>
      <c r="V37" s="1334"/>
      <c r="W37" s="1334"/>
      <c r="X37" s="1334"/>
      <c r="Y37" s="1334"/>
      <c r="Z37" s="1334"/>
    </row>
    <row r="38" spans="1:26" ht="18.75" customHeight="1" thickTop="1" thickBot="1">
      <c r="A38" s="1340" t="s">
        <v>1324</v>
      </c>
      <c r="B38" s="1341"/>
      <c r="C38" s="1342">
        <f>SUM(C6:C37)</f>
        <v>4291024.8499999996</v>
      </c>
      <c r="D38" s="1342">
        <f>SUM(D6:D37)</f>
        <v>5532519</v>
      </c>
      <c r="E38" s="1342">
        <f>SUM(E6:E37)</f>
        <v>6896513</v>
      </c>
      <c r="F38" s="1342">
        <f>SUM(F6:F37)</f>
        <v>8991573.6666666679</v>
      </c>
      <c r="G38" s="1343">
        <f>SUM(G6:G37)</f>
        <v>13541336.66666667</v>
      </c>
      <c r="H38" s="1344"/>
      <c r="I38" s="1344"/>
      <c r="J38" s="1344"/>
      <c r="K38" s="1344"/>
      <c r="L38" s="1344"/>
      <c r="M38" s="1344"/>
      <c r="N38" s="1344"/>
      <c r="O38" s="1344"/>
      <c r="P38" s="1344"/>
      <c r="Q38" s="1344"/>
      <c r="R38" s="1344"/>
      <c r="S38" s="1344"/>
      <c r="T38" s="1344"/>
      <c r="U38" s="1344"/>
      <c r="V38" s="1344"/>
      <c r="W38" s="1344"/>
      <c r="X38" s="1344"/>
      <c r="Y38" s="1344"/>
      <c r="Z38" s="1344"/>
    </row>
    <row r="39" spans="1:26" ht="8.25" customHeight="1" thickTop="1">
      <c r="A39" s="1334"/>
      <c r="B39" s="1332"/>
      <c r="C39" s="1332"/>
      <c r="D39" s="1332"/>
      <c r="E39" s="1332"/>
      <c r="F39" s="1332"/>
      <c r="G39" s="1332"/>
      <c r="H39" s="1334"/>
      <c r="I39" s="1334"/>
      <c r="J39" s="1334"/>
      <c r="K39" s="1334"/>
      <c r="L39" s="1334"/>
      <c r="M39" s="1334"/>
      <c r="N39" s="1334"/>
      <c r="O39" s="1334"/>
      <c r="P39" s="1334"/>
      <c r="Q39" s="1334"/>
      <c r="R39" s="1334"/>
      <c r="S39" s="1334"/>
      <c r="T39" s="1334"/>
      <c r="U39" s="1334"/>
      <c r="V39" s="1334"/>
      <c r="W39" s="1334"/>
      <c r="X39" s="1334"/>
      <c r="Y39" s="1334"/>
      <c r="Z39" s="1334"/>
    </row>
    <row r="40" spans="1:26">
      <c r="A40" s="1345" t="s">
        <v>1325</v>
      </c>
      <c r="B40" s="1346">
        <v>0.2</v>
      </c>
      <c r="C40" s="1332">
        <f>C38*B40</f>
        <v>858204.97</v>
      </c>
      <c r="D40" s="1332">
        <f>D38*B40</f>
        <v>1106503.8</v>
      </c>
      <c r="E40" s="1332">
        <f>E38*B40</f>
        <v>1379302.6</v>
      </c>
      <c r="F40" s="1332">
        <f>F38*B40</f>
        <v>1798314.7333333336</v>
      </c>
      <c r="G40" s="1332">
        <f>G38*B40</f>
        <v>2708267.333333334</v>
      </c>
      <c r="I40" s="1325"/>
      <c r="J40" s="1347"/>
    </row>
    <row r="41" spans="1:26" ht="8.25" customHeight="1" thickBot="1">
      <c r="A41" s="1337"/>
      <c r="B41" s="1332"/>
      <c r="C41" s="1348"/>
      <c r="D41" s="1348"/>
      <c r="E41" s="1348"/>
      <c r="F41" s="1348"/>
      <c r="G41" s="1348"/>
      <c r="J41" s="1347"/>
    </row>
    <row r="42" spans="1:26" ht="17.25" thickTop="1" thickBot="1">
      <c r="A42" s="1340" t="s">
        <v>1326</v>
      </c>
      <c r="B42" s="1349"/>
      <c r="C42" s="1350">
        <f>C38+(-C40)</f>
        <v>3432819.88</v>
      </c>
      <c r="D42" s="1350">
        <f>D38+(-D40)</f>
        <v>4426015.2</v>
      </c>
      <c r="E42" s="1350">
        <f>E38+(-E40)</f>
        <v>5517210.4000000004</v>
      </c>
      <c r="F42" s="1350">
        <f>F38+(-F40)</f>
        <v>7193258.9333333345</v>
      </c>
      <c r="G42" s="1351">
        <f>G38+(-G40)</f>
        <v>10833069.333333336</v>
      </c>
      <c r="H42" s="1352"/>
      <c r="I42" s="1352"/>
      <c r="J42" s="1352"/>
      <c r="K42" s="1352"/>
      <c r="L42" s="1352"/>
      <c r="M42" s="1352"/>
      <c r="N42" s="1352"/>
      <c r="O42" s="1352"/>
      <c r="P42" s="1352"/>
      <c r="Q42" s="1352"/>
      <c r="R42" s="1352"/>
      <c r="S42" s="1352"/>
      <c r="T42" s="1352"/>
      <c r="U42" s="1352"/>
      <c r="V42" s="1352"/>
      <c r="W42" s="1352"/>
      <c r="X42" s="1352"/>
      <c r="Y42" s="1352"/>
      <c r="Z42" s="1352"/>
    </row>
    <row r="43" spans="1:26" ht="15.75" customHeight="1" thickTop="1">
      <c r="A43" s="1334"/>
      <c r="B43" s="1332"/>
      <c r="C43" s="1332"/>
      <c r="D43" s="1332"/>
      <c r="E43" s="1332"/>
      <c r="F43" s="1332"/>
      <c r="G43" s="1332"/>
    </row>
    <row r="44" spans="1:26" ht="15.75" customHeight="1">
      <c r="A44" s="1353" t="s">
        <v>1327</v>
      </c>
      <c r="B44" s="1354"/>
      <c r="C44" s="1354"/>
      <c r="D44" s="1354"/>
      <c r="E44" s="1354"/>
      <c r="F44" s="1354"/>
      <c r="G44" s="1354"/>
    </row>
    <row r="45" spans="1:26" ht="15.75" customHeight="1">
      <c r="A45" s="1334" t="s">
        <v>135</v>
      </c>
      <c r="B45" s="1332">
        <v>43288</v>
      </c>
      <c r="C45" s="1332"/>
      <c r="D45" s="1332"/>
      <c r="E45" s="1332"/>
      <c r="F45" s="1332"/>
      <c r="G45" s="1332"/>
    </row>
    <row r="46" spans="1:26" ht="15.75" customHeight="1">
      <c r="A46" s="1334" t="s">
        <v>1328</v>
      </c>
      <c r="B46" s="1332"/>
      <c r="C46" s="1332"/>
      <c r="D46" s="1332"/>
      <c r="E46" s="1332"/>
      <c r="F46" s="1332"/>
      <c r="G46" s="1332">
        <f>(B55+C55+D55+E55)*-1</f>
        <v>431065.66</v>
      </c>
    </row>
    <row r="47" spans="1:26" ht="15.75" customHeight="1">
      <c r="A47" s="1334"/>
      <c r="B47" s="1332"/>
      <c r="C47" s="1332"/>
      <c r="D47" s="1332"/>
      <c r="E47" s="1332"/>
      <c r="F47" s="1332"/>
      <c r="G47" s="1332"/>
    </row>
    <row r="48" spans="1:26" ht="15.75" customHeight="1">
      <c r="A48" s="1355" t="s">
        <v>1329</v>
      </c>
      <c r="B48" s="1354"/>
      <c r="C48" s="1354"/>
      <c r="D48" s="1354"/>
      <c r="E48" s="1354"/>
      <c r="F48" s="1354"/>
      <c r="G48" s="1354"/>
    </row>
    <row r="49" spans="1:26" ht="15.75" customHeight="1">
      <c r="A49" s="1325" t="s">
        <v>1330</v>
      </c>
      <c r="B49" s="1333">
        <v>-160000</v>
      </c>
      <c r="C49" s="1333"/>
      <c r="D49" s="1333"/>
      <c r="E49" s="1333"/>
      <c r="F49" s="1333"/>
      <c r="G49" s="1332"/>
    </row>
    <row r="50" spans="1:26" ht="15.75" customHeight="1">
      <c r="A50" s="1325" t="s">
        <v>1331</v>
      </c>
      <c r="B50" s="1333">
        <f>-2200000*2</f>
        <v>-4400000</v>
      </c>
      <c r="C50" s="1333"/>
      <c r="D50" s="1333"/>
      <c r="E50" s="1333"/>
      <c r="F50" s="1333"/>
      <c r="G50" s="1333"/>
    </row>
    <row r="51" spans="1:26" ht="15.75" customHeight="1">
      <c r="A51" s="1331" t="s">
        <v>1332</v>
      </c>
      <c r="B51" s="1333">
        <f>-60000*10</f>
        <v>-600000</v>
      </c>
      <c r="C51" s="1333"/>
      <c r="D51" s="1333"/>
      <c r="E51" s="1333"/>
      <c r="F51" s="1333"/>
      <c r="G51" s="1333"/>
    </row>
    <row r="52" spans="1:26" ht="15.75" customHeight="1">
      <c r="A52" s="1334" t="s">
        <v>1333</v>
      </c>
      <c r="B52" s="1332">
        <v>-1800000</v>
      </c>
      <c r="C52" s="1332"/>
      <c r="D52" s="1332"/>
      <c r="E52" s="1332"/>
      <c r="F52" s="1332"/>
      <c r="G52" s="1332"/>
    </row>
    <row r="53" spans="1:26" ht="15.75" customHeight="1">
      <c r="A53" s="1334" t="s">
        <v>1334</v>
      </c>
      <c r="B53" s="1332"/>
      <c r="C53" s="1332"/>
      <c r="D53" s="1332"/>
      <c r="E53" s="1356">
        <v>-1000000</v>
      </c>
      <c r="F53" s="1332"/>
      <c r="G53" s="1332"/>
    </row>
    <row r="54" spans="1:26" ht="14.25" customHeight="1">
      <c r="A54" s="1334" t="s">
        <v>1335</v>
      </c>
      <c r="B54" s="1332"/>
      <c r="C54" s="1332"/>
      <c r="D54" s="1357"/>
      <c r="E54" s="1357">
        <f>-60000*2</f>
        <v>-120000</v>
      </c>
      <c r="F54" s="1332"/>
      <c r="G54" s="1332"/>
    </row>
    <row r="55" spans="1:26" ht="14.25" customHeight="1">
      <c r="A55" s="1334" t="s">
        <v>236</v>
      </c>
      <c r="B55" s="1332">
        <v>-269416.65999999997</v>
      </c>
      <c r="C55" s="1332">
        <v>-38488</v>
      </c>
      <c r="D55" s="1332">
        <v>-38488</v>
      </c>
      <c r="E55" s="1332">
        <v>-84673</v>
      </c>
      <c r="F55" s="1332"/>
      <c r="G55" s="1332"/>
      <c r="H55" s="1325" t="s">
        <v>595</v>
      </c>
    </row>
    <row r="56" spans="1:26" ht="14.25" customHeight="1">
      <c r="A56" s="1334" t="s">
        <v>1336</v>
      </c>
      <c r="B56" s="1332">
        <v>-100000</v>
      </c>
      <c r="C56" s="1332"/>
      <c r="D56" s="1332"/>
      <c r="E56" s="1332"/>
      <c r="F56" s="1332"/>
      <c r="G56" s="1332"/>
      <c r="H56" s="1325" t="s">
        <v>1337</v>
      </c>
    </row>
    <row r="57" spans="1:26" ht="14.25" customHeight="1">
      <c r="A57" s="1334" t="s">
        <v>1338</v>
      </c>
      <c r="B57" s="1332">
        <v>-5000</v>
      </c>
      <c r="C57" s="1332"/>
      <c r="D57" s="1332"/>
      <c r="E57" s="1332"/>
      <c r="F57" s="1332"/>
      <c r="G57" s="1332"/>
    </row>
    <row r="58" spans="1:26" ht="14.25" customHeight="1">
      <c r="A58" s="1334" t="s">
        <v>1339</v>
      </c>
      <c r="B58" s="1332"/>
      <c r="C58" s="1332">
        <v>-10822</v>
      </c>
      <c r="D58" s="1332">
        <v>-10822</v>
      </c>
      <c r="E58" s="1332">
        <v>-10822</v>
      </c>
      <c r="F58" s="1332">
        <v>-10822</v>
      </c>
      <c r="G58" s="1332"/>
    </row>
    <row r="59" spans="1:26" ht="15.75" customHeight="1">
      <c r="A59" s="1353" t="s">
        <v>1340</v>
      </c>
      <c r="B59" s="1354"/>
      <c r="C59" s="1354"/>
      <c r="D59" s="1354"/>
      <c r="E59" s="1354"/>
      <c r="F59" s="1354"/>
      <c r="G59" s="1354"/>
    </row>
    <row r="60" spans="1:26" ht="15.75" customHeight="1">
      <c r="A60" s="1337" t="s">
        <v>1341</v>
      </c>
      <c r="B60" s="1332">
        <f t="shared" ref="B60:G60" si="0">-SUM(B30:B37)</f>
        <v>0</v>
      </c>
      <c r="C60" s="1332">
        <f t="shared" si="0"/>
        <v>1392000</v>
      </c>
      <c r="D60" s="1332">
        <f t="shared" si="0"/>
        <v>1392000</v>
      </c>
      <c r="E60" s="1332">
        <f t="shared" si="0"/>
        <v>1392000</v>
      </c>
      <c r="F60" s="1332">
        <f t="shared" si="0"/>
        <v>1989333.3333333333</v>
      </c>
      <c r="G60" s="1332">
        <f t="shared" si="0"/>
        <v>1989333.3333333333</v>
      </c>
    </row>
    <row r="61" spans="1:26" ht="15.75" customHeight="1" thickBot="1">
      <c r="A61" s="1337"/>
      <c r="B61" s="1332"/>
      <c r="C61" s="1332"/>
      <c r="D61" s="1332"/>
      <c r="E61" s="1332"/>
      <c r="F61" s="1332"/>
      <c r="G61" s="1332"/>
      <c r="I61" s="1334"/>
    </row>
    <row r="62" spans="1:26" ht="27" customHeight="1" thickTop="1" thickBot="1">
      <c r="A62" s="1358" t="s">
        <v>1342</v>
      </c>
      <c r="B62" s="1359">
        <f t="shared" ref="B62:G62" si="1">SUM(B42:B61)</f>
        <v>-7291128.6600000001</v>
      </c>
      <c r="C62" s="1359">
        <f t="shared" si="1"/>
        <v>4775509.88</v>
      </c>
      <c r="D62" s="1359">
        <f t="shared" si="1"/>
        <v>5768705.2000000002</v>
      </c>
      <c r="E62" s="1359">
        <f t="shared" si="1"/>
        <v>5693715.4000000004</v>
      </c>
      <c r="F62" s="1359">
        <f t="shared" si="1"/>
        <v>9171770.2666666675</v>
      </c>
      <c r="G62" s="1360">
        <f t="shared" si="1"/>
        <v>13253468.32666667</v>
      </c>
      <c r="H62" s="1361"/>
      <c r="I62" s="1361"/>
      <c r="J62" s="1361"/>
      <c r="K62" s="1361"/>
      <c r="L62" s="1361"/>
      <c r="M62" s="1361"/>
      <c r="N62" s="1361"/>
      <c r="O62" s="1361"/>
      <c r="P62" s="1361"/>
      <c r="Q62" s="1361"/>
      <c r="R62" s="1361"/>
      <c r="S62" s="1361"/>
      <c r="T62" s="1361"/>
      <c r="U62" s="1361"/>
      <c r="V62" s="1361"/>
      <c r="W62" s="1361"/>
      <c r="X62" s="1361"/>
      <c r="Y62" s="1361"/>
      <c r="Z62" s="1361"/>
    </row>
    <row r="63" spans="1:26" ht="15.75" customHeight="1" thickTop="1">
      <c r="A63" s="1362"/>
      <c r="B63" s="1363" t="s">
        <v>1343</v>
      </c>
      <c r="C63" s="1338">
        <f>C62/((1+B65)^1)</f>
        <v>4341372.6181818182</v>
      </c>
      <c r="D63" s="1338">
        <f>D62/((1+B65)^2)</f>
        <v>4767524.9586776858</v>
      </c>
      <c r="E63" s="1338">
        <f>E62/((1+B65)^3)</f>
        <v>4277772.652141246</v>
      </c>
      <c r="F63" s="1338">
        <f>F62/((1+B65)^4)</f>
        <v>6264442.5016506147</v>
      </c>
      <c r="G63" s="1338">
        <f>G62/((1+B65)^5)</f>
        <v>8229361.0885164728</v>
      </c>
    </row>
    <row r="64" spans="1:26" ht="15.75" customHeight="1">
      <c r="A64" s="1364" t="s">
        <v>1344</v>
      </c>
      <c r="B64" s="1365">
        <f t="array" ref="B64">NPV(B65,C62:G62)+B62</f>
        <v>20589345.159167834</v>
      </c>
      <c r="C64" s="1338"/>
      <c r="D64" s="1338"/>
      <c r="E64" s="1338"/>
      <c r="F64" s="1338"/>
      <c r="G64" s="1338"/>
    </row>
    <row r="65" spans="1:6" ht="15.75" customHeight="1">
      <c r="A65" s="1366" t="s">
        <v>1345</v>
      </c>
      <c r="B65" s="1367">
        <v>0.1</v>
      </c>
      <c r="C65" s="1325" t="s">
        <v>1346</v>
      </c>
    </row>
    <row r="66" spans="1:6" ht="15.75" customHeight="1">
      <c r="A66" s="1366" t="s">
        <v>982</v>
      </c>
      <c r="B66" s="1367">
        <f>IRR(B62:G62)</f>
        <v>0.76713383860715956</v>
      </c>
    </row>
    <row r="67" spans="1:6" ht="15.75" customHeight="1">
      <c r="A67" s="1368" t="s">
        <v>1347</v>
      </c>
      <c r="B67" s="1369">
        <f>ABS(SUM(C63:G63)/B62)</f>
        <v>3.8238899790814878</v>
      </c>
      <c r="C67" s="1325"/>
    </row>
    <row r="68" spans="1:6" ht="15.75" customHeight="1">
      <c r="A68" s="1368" t="s">
        <v>1348</v>
      </c>
      <c r="B68" s="1370">
        <f>(C62+D62+E62+F62+G62+B62)/(B62*-1)</f>
        <v>4.3027687311902874</v>
      </c>
      <c r="D68" s="1371"/>
    </row>
    <row r="69" spans="1:6" ht="15.75" customHeight="1">
      <c r="B69" s="1372"/>
    </row>
    <row r="70" spans="1:6" ht="15.75" customHeight="1"/>
    <row r="71" spans="1:6" ht="15.75" customHeight="1">
      <c r="A71" s="1373"/>
      <c r="B71" s="1374"/>
      <c r="C71" s="1373"/>
      <c r="D71" s="1374"/>
      <c r="E71" s="1373"/>
      <c r="F71" s="1374"/>
    </row>
    <row r="72" spans="1:6" ht="15.75" customHeight="1">
      <c r="A72" s="1373"/>
      <c r="B72" s="1374"/>
      <c r="C72" s="1373"/>
      <c r="D72" s="1374"/>
      <c r="E72" s="1373"/>
      <c r="F72" s="1374"/>
    </row>
    <row r="73" spans="1:6" ht="15.75" customHeight="1">
      <c r="A73" s="1373"/>
      <c r="B73" s="1374"/>
      <c r="C73" s="1373"/>
      <c r="D73" s="1374"/>
      <c r="E73" s="1373"/>
      <c r="F73" s="1374"/>
    </row>
    <row r="74" spans="1:6" ht="15.75" customHeight="1">
      <c r="A74" s="1373"/>
      <c r="B74" s="1374"/>
      <c r="C74" s="1373"/>
      <c r="D74" s="1374"/>
      <c r="E74" s="1373"/>
      <c r="F74" s="1374"/>
    </row>
    <row r="75" spans="1:6" ht="15.75" customHeight="1">
      <c r="A75" s="1373"/>
      <c r="B75" s="1374"/>
      <c r="C75" s="1373"/>
      <c r="D75" s="1374"/>
      <c r="E75" s="1373"/>
      <c r="F75" s="1374"/>
    </row>
    <row r="76" spans="1:6" ht="15.75" customHeight="1">
      <c r="C76" s="1373"/>
      <c r="D76" s="1374"/>
    </row>
    <row r="77" spans="1:6" ht="15.75" customHeight="1"/>
    <row r="78" spans="1:6" ht="15.75" customHeight="1"/>
    <row r="79" spans="1:6" ht="15.75" customHeight="1">
      <c r="B79" s="1332"/>
    </row>
    <row r="80" spans="1:6" ht="15.75" customHeight="1">
      <c r="B80" s="1375" t="s">
        <v>1303</v>
      </c>
      <c r="C80" s="1376">
        <v>605000</v>
      </c>
      <c r="D80" s="1377"/>
      <c r="E80" s="1377"/>
    </row>
    <row r="81" spans="2:3" ht="15.75" customHeight="1">
      <c r="B81" s="1378" t="s">
        <v>1349</v>
      </c>
      <c r="C81" s="1379">
        <f>C80/1.21</f>
        <v>500000</v>
      </c>
    </row>
    <row r="82" spans="2:3" ht="15.75" customHeight="1">
      <c r="B82" s="1325" t="s">
        <v>1350</v>
      </c>
    </row>
    <row r="83" spans="2:3" ht="15.75" customHeight="1"/>
    <row r="84" spans="2:3" ht="15.75" customHeight="1"/>
    <row r="85" spans="2:3" ht="15.75" customHeight="1"/>
    <row r="86" spans="2:3" ht="15.75" customHeight="1"/>
    <row r="87" spans="2:3" ht="15.75" customHeight="1"/>
    <row r="88" spans="2:3" ht="15.75" customHeight="1"/>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pageMargins left="0.7" right="0.7" top="0.75" bottom="0.75" header="0" footer="0"/>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19313-DD40-46A2-AF20-4716F772D83A}">
  <dimension ref="A1:Z1030"/>
  <sheetViews>
    <sheetView showGridLines="0" topLeftCell="A34" zoomScale="90" zoomScaleNormal="90" workbookViewId="0">
      <selection activeCell="F15" sqref="F15"/>
    </sheetView>
  </sheetViews>
  <sheetFormatPr defaultColWidth="14.42578125" defaultRowHeight="15" customHeight="1"/>
  <cols>
    <col min="1" max="1" width="41.5703125" style="1323" customWidth="1"/>
    <col min="2" max="2" width="15.85546875" style="1323" customWidth="1"/>
    <col min="3" max="3" width="16.5703125" style="1323" customWidth="1"/>
    <col min="4" max="4" width="15" style="1323" customWidth="1"/>
    <col min="5" max="5" width="18.140625" style="1323" customWidth="1"/>
    <col min="6" max="7" width="16.140625" style="1323" customWidth="1"/>
    <col min="8" max="26" width="9.140625" style="1323" customWidth="1"/>
    <col min="27" max="16384" width="14.42578125" style="1323"/>
  </cols>
  <sheetData>
    <row r="1" spans="1:26" ht="36" customHeight="1">
      <c r="A1" s="1321"/>
      <c r="B1" s="1321"/>
      <c r="C1" s="1322"/>
      <c r="D1" s="1322"/>
      <c r="E1" s="1322"/>
      <c r="F1" s="1322"/>
      <c r="G1" s="1322"/>
    </row>
    <row r="2" spans="1:26" ht="36" customHeight="1">
      <c r="A2" s="1324" t="s">
        <v>1294</v>
      </c>
      <c r="B2" s="1324"/>
      <c r="C2" s="1322">
        <f>10000*0.35</f>
        <v>3500</v>
      </c>
      <c r="D2" s="1322">
        <f>10000*0.4</f>
        <v>4000</v>
      </c>
      <c r="E2" s="1322">
        <f>10000*0.45</f>
        <v>4500</v>
      </c>
      <c r="F2" s="1322">
        <f>M4*0.5</f>
        <v>5600.0000000000009</v>
      </c>
      <c r="G2" s="1322">
        <f>F2</f>
        <v>5600.0000000000009</v>
      </c>
      <c r="K2" s="1325" t="s">
        <v>1295</v>
      </c>
    </row>
    <row r="3" spans="1:26" ht="36" customHeight="1">
      <c r="A3" s="1324" t="s">
        <v>1296</v>
      </c>
      <c r="B3" s="1326"/>
      <c r="C3" s="1327">
        <f>C2*K9</f>
        <v>7000000</v>
      </c>
      <c r="D3" s="1327">
        <f>D2*L9</f>
        <v>8400000</v>
      </c>
      <c r="E3" s="1327">
        <f>E2*M9</f>
        <v>9922500</v>
      </c>
      <c r="F3" s="1327">
        <f>F2*N9</f>
        <v>12965400.000000002</v>
      </c>
      <c r="G3" s="1327">
        <f>G2*O9</f>
        <v>13613670.000000004</v>
      </c>
      <c r="K3" s="1325" t="s">
        <v>1297</v>
      </c>
    </row>
    <row r="4" spans="1:26" ht="36" customHeight="1">
      <c r="A4" s="1328" t="s">
        <v>1298</v>
      </c>
      <c r="B4" s="1328" t="s">
        <v>818</v>
      </c>
      <c r="C4" s="1328" t="s">
        <v>451</v>
      </c>
      <c r="D4" s="1328" t="s">
        <v>632</v>
      </c>
      <c r="E4" s="1328" t="s">
        <v>793</v>
      </c>
      <c r="F4" s="1328" t="s">
        <v>794</v>
      </c>
      <c r="G4" s="1328" t="s">
        <v>795</v>
      </c>
      <c r="K4" s="1325" t="s">
        <v>1299</v>
      </c>
      <c r="M4" s="1323">
        <f>10000*1.12</f>
        <v>11200.000000000002</v>
      </c>
    </row>
    <row r="5" spans="1:26">
      <c r="A5" s="1329" t="s">
        <v>1300</v>
      </c>
      <c r="B5" s="1330"/>
      <c r="C5" s="1330"/>
      <c r="D5" s="1330"/>
      <c r="E5" s="1330"/>
      <c r="F5" s="1330"/>
      <c r="G5" s="1330"/>
    </row>
    <row r="6" spans="1:26">
      <c r="A6" s="1331" t="s">
        <v>1296</v>
      </c>
      <c r="B6" s="1332"/>
      <c r="C6" s="1333">
        <f>C3</f>
        <v>7000000</v>
      </c>
      <c r="D6" s="1332">
        <f>D3</f>
        <v>8400000</v>
      </c>
      <c r="E6" s="1332">
        <f>E3</f>
        <v>9922500</v>
      </c>
      <c r="F6" s="1332">
        <f>F3</f>
        <v>12965400.000000002</v>
      </c>
      <c r="G6" s="1332">
        <f>G3</f>
        <v>13613670.000000004</v>
      </c>
      <c r="H6" s="1334"/>
      <c r="I6" s="1334"/>
      <c r="J6" s="1334"/>
      <c r="K6" s="1334"/>
      <c r="L6" s="1334"/>
      <c r="M6" s="1334"/>
      <c r="N6" s="1334"/>
      <c r="O6" s="1334"/>
      <c r="P6" s="1334"/>
      <c r="Q6" s="1334"/>
      <c r="R6" s="1334"/>
      <c r="S6" s="1334"/>
      <c r="T6" s="1334"/>
      <c r="U6" s="1334"/>
      <c r="V6" s="1334"/>
      <c r="W6" s="1334"/>
      <c r="X6" s="1334"/>
      <c r="Y6" s="1334"/>
      <c r="Z6" s="1334"/>
    </row>
    <row r="7" spans="1:26">
      <c r="A7" s="1334" t="s">
        <v>1301</v>
      </c>
      <c r="B7" s="1332"/>
      <c r="C7" s="1335"/>
      <c r="D7" s="1335"/>
      <c r="E7" s="1335"/>
      <c r="F7" s="1335"/>
      <c r="G7" s="1332">
        <f>B49*-0.3</f>
        <v>48000</v>
      </c>
      <c r="H7" s="1334"/>
      <c r="I7" s="1334"/>
      <c r="J7" s="1334"/>
      <c r="K7" s="1334"/>
      <c r="L7" s="1334"/>
      <c r="M7" s="1334"/>
      <c r="N7" s="1334"/>
      <c r="O7" s="1334"/>
      <c r="P7" s="1334"/>
      <c r="Q7" s="1334"/>
      <c r="R7" s="1334"/>
      <c r="S7" s="1334"/>
      <c r="T7" s="1334"/>
      <c r="U7" s="1334"/>
      <c r="V7" s="1334"/>
      <c r="W7" s="1334"/>
      <c r="X7" s="1334"/>
      <c r="Y7" s="1334"/>
      <c r="Z7" s="1334"/>
    </row>
    <row r="8" spans="1:26">
      <c r="A8" s="1325" t="s">
        <v>1302</v>
      </c>
      <c r="G8" s="1332">
        <f>B50*-0.6</f>
        <v>2640000</v>
      </c>
      <c r="H8" s="1334"/>
      <c r="I8" s="1334"/>
      <c r="J8" s="1334"/>
      <c r="K8" s="1334" t="s">
        <v>1303</v>
      </c>
      <c r="L8" s="1334"/>
      <c r="M8" s="1334"/>
      <c r="N8" s="1334"/>
      <c r="O8" s="1334"/>
      <c r="P8" s="1334"/>
      <c r="Q8" s="1334"/>
      <c r="R8" s="1334"/>
      <c r="S8" s="1334"/>
      <c r="T8" s="1334"/>
      <c r="U8" s="1334"/>
      <c r="V8" s="1334"/>
      <c r="W8" s="1334"/>
      <c r="X8" s="1334"/>
      <c r="Y8" s="1334"/>
      <c r="Z8" s="1334"/>
    </row>
    <row r="9" spans="1:26">
      <c r="A9" s="1325" t="s">
        <v>1304</v>
      </c>
      <c r="G9" s="1332">
        <f>B51*-0.6</f>
        <v>360000</v>
      </c>
      <c r="H9" s="1334"/>
      <c r="I9" s="1334"/>
      <c r="J9" s="1334"/>
      <c r="K9" s="1334">
        <v>2000</v>
      </c>
      <c r="L9" s="1334">
        <f>2000*1.05</f>
        <v>2100</v>
      </c>
      <c r="M9" s="1334">
        <f>L9*1.05</f>
        <v>2205</v>
      </c>
      <c r="N9" s="1334">
        <f>M9*1.05</f>
        <v>2315.25</v>
      </c>
      <c r="O9" s="1334">
        <f>N9*1.05</f>
        <v>2431.0125000000003</v>
      </c>
      <c r="P9" s="1334"/>
      <c r="Q9" s="1334"/>
      <c r="R9" s="1334"/>
      <c r="S9" s="1334"/>
      <c r="T9" s="1334"/>
      <c r="U9" s="1334"/>
      <c r="V9" s="1334"/>
      <c r="W9" s="1334"/>
      <c r="X9" s="1334"/>
      <c r="Y9" s="1334"/>
      <c r="Z9" s="1334"/>
    </row>
    <row r="10" spans="1:26">
      <c r="A10" s="1325" t="s">
        <v>1305</v>
      </c>
      <c r="G10" s="1332">
        <f>B52*-0.1</f>
        <v>180000</v>
      </c>
      <c r="H10" s="1334"/>
      <c r="I10" s="1334"/>
      <c r="J10" s="1334"/>
      <c r="K10" s="1334"/>
      <c r="L10" s="1334"/>
      <c r="M10" s="1334"/>
      <c r="N10" s="1334"/>
      <c r="O10" s="1334"/>
      <c r="P10" s="1334"/>
      <c r="Q10" s="1334"/>
      <c r="R10" s="1334"/>
      <c r="S10" s="1334"/>
      <c r="T10" s="1334"/>
      <c r="U10" s="1334"/>
      <c r="V10" s="1334"/>
      <c r="W10" s="1334"/>
      <c r="X10" s="1334"/>
      <c r="Y10" s="1334"/>
      <c r="Z10" s="1334"/>
    </row>
    <row r="11" spans="1:26">
      <c r="A11" s="1325" t="s">
        <v>1306</v>
      </c>
      <c r="G11" s="1332">
        <f>E53*-0.6</f>
        <v>600000</v>
      </c>
      <c r="H11" s="1334"/>
      <c r="I11" s="1334"/>
      <c r="J11" s="1334"/>
      <c r="K11" s="1334"/>
      <c r="L11" s="1334"/>
      <c r="M11" s="1334"/>
      <c r="N11" s="1334"/>
      <c r="O11" s="1334"/>
      <c r="P11" s="1334"/>
      <c r="Q11" s="1334"/>
      <c r="R11" s="1334"/>
      <c r="S11" s="1334"/>
      <c r="T11" s="1334"/>
      <c r="U11" s="1334"/>
      <c r="V11" s="1334"/>
      <c r="W11" s="1334"/>
      <c r="X11" s="1334"/>
      <c r="Y11" s="1334"/>
      <c r="Z11" s="1334"/>
    </row>
    <row r="12" spans="1:26">
      <c r="A12" s="1325" t="s">
        <v>1307</v>
      </c>
      <c r="G12" s="1332">
        <f>E54*-0.6</f>
        <v>72000</v>
      </c>
      <c r="H12" s="1334"/>
      <c r="I12" s="1334"/>
      <c r="J12" s="1334"/>
      <c r="K12" s="1334"/>
      <c r="L12" s="1334"/>
      <c r="M12" s="1334"/>
      <c r="N12" s="1334"/>
      <c r="O12" s="1334"/>
      <c r="P12" s="1334"/>
      <c r="Q12" s="1334"/>
      <c r="R12" s="1334"/>
      <c r="S12" s="1334"/>
      <c r="T12" s="1334"/>
      <c r="U12" s="1334"/>
      <c r="V12" s="1334"/>
      <c r="W12" s="1334"/>
      <c r="X12" s="1334"/>
      <c r="Y12" s="1334"/>
      <c r="Z12" s="1334"/>
    </row>
    <row r="13" spans="1:26">
      <c r="G13" s="1332"/>
      <c r="H13" s="1334"/>
      <c r="I13" s="1334"/>
      <c r="J13" s="1334"/>
      <c r="K13" s="1334"/>
      <c r="L13" s="1334"/>
      <c r="M13" s="1334"/>
      <c r="N13" s="1334"/>
      <c r="O13" s="1334"/>
      <c r="P13" s="1334"/>
      <c r="Q13" s="1334"/>
      <c r="R13" s="1334"/>
      <c r="S13" s="1334"/>
      <c r="T13" s="1334"/>
      <c r="U13" s="1334"/>
      <c r="V13" s="1334"/>
      <c r="W13" s="1334"/>
      <c r="X13" s="1334"/>
      <c r="Y13" s="1334"/>
      <c r="Z13" s="1334"/>
    </row>
    <row r="14" spans="1:26">
      <c r="A14" s="1329" t="s">
        <v>1308</v>
      </c>
      <c r="B14" s="1336"/>
      <c r="C14" s="1336"/>
      <c r="D14" s="1336"/>
      <c r="E14" s="1336"/>
      <c r="F14" s="1336"/>
      <c r="G14" s="1336"/>
    </row>
    <row r="15" spans="1:26">
      <c r="A15" s="1337" t="s">
        <v>1309</v>
      </c>
      <c r="B15" s="1332"/>
      <c r="C15" s="1335">
        <f>-200000*0.4</f>
        <v>-80000</v>
      </c>
      <c r="D15" s="1335">
        <f>-200000*0.4</f>
        <v>-80000</v>
      </c>
      <c r="E15" s="1335">
        <f>-200000*0.4</f>
        <v>-80000</v>
      </c>
      <c r="F15" s="1335">
        <f>-200000*0.4</f>
        <v>-80000</v>
      </c>
      <c r="G15" s="1335">
        <f>-200000*0.4</f>
        <v>-80000</v>
      </c>
    </row>
    <row r="16" spans="1:26">
      <c r="A16" s="1337" t="s">
        <v>1310</v>
      </c>
      <c r="B16" s="1332"/>
      <c r="C16" s="1332">
        <f>-200*C2-120*C2</f>
        <v>-1120000</v>
      </c>
      <c r="D16" s="1332">
        <f>-200*D2-120*D2</f>
        <v>-1280000</v>
      </c>
      <c r="E16" s="1332">
        <f>-200*E2-120*E2</f>
        <v>-1440000</v>
      </c>
      <c r="F16" s="1332">
        <f>-200*F2-120*F2</f>
        <v>-1792000.0000000005</v>
      </c>
      <c r="G16" s="1332">
        <f>-200*G2-120*G2</f>
        <v>-1792000.0000000005</v>
      </c>
      <c r="H16" s="1334" t="s">
        <v>1311</v>
      </c>
      <c r="I16" s="1334"/>
      <c r="J16" s="1334"/>
      <c r="K16" s="1334"/>
      <c r="L16" s="1334"/>
      <c r="M16" s="1334"/>
      <c r="N16" s="1334"/>
      <c r="O16" s="1334"/>
      <c r="P16" s="1334"/>
      <c r="Q16" s="1334"/>
      <c r="R16" s="1334"/>
      <c r="S16" s="1334"/>
      <c r="T16" s="1334"/>
      <c r="U16" s="1334"/>
      <c r="V16" s="1334"/>
      <c r="W16" s="1334"/>
      <c r="X16" s="1334"/>
      <c r="Y16" s="1334"/>
      <c r="Z16" s="1334"/>
    </row>
    <row r="17" spans="1:26">
      <c r="A17" s="1334" t="s">
        <v>1312</v>
      </c>
      <c r="B17" s="1332"/>
      <c r="C17" s="1335">
        <f>-250000*0.3</f>
        <v>-75000</v>
      </c>
      <c r="D17" s="1335">
        <f>-250000*0.3</f>
        <v>-75000</v>
      </c>
      <c r="E17" s="1335">
        <f>-250000*0.3</f>
        <v>-75000</v>
      </c>
      <c r="F17" s="1335">
        <f>-250000*0.3</f>
        <v>-75000</v>
      </c>
      <c r="G17" s="1335">
        <f>-250000*0.3</f>
        <v>-75000</v>
      </c>
      <c r="H17" s="1334"/>
      <c r="I17" s="1334"/>
      <c r="J17" s="1334"/>
      <c r="K17" s="1334"/>
      <c r="L17" s="1334"/>
      <c r="M17" s="1334"/>
      <c r="N17" s="1334"/>
      <c r="O17" s="1334"/>
      <c r="P17" s="1334"/>
      <c r="Q17" s="1334"/>
      <c r="R17" s="1334"/>
      <c r="S17" s="1334"/>
      <c r="T17" s="1334"/>
      <c r="U17" s="1334"/>
      <c r="V17" s="1334"/>
      <c r="W17" s="1334"/>
      <c r="X17" s="1334"/>
      <c r="Y17" s="1334"/>
      <c r="Z17" s="1334"/>
    </row>
    <row r="18" spans="1:26">
      <c r="A18" s="1334" t="s">
        <v>1313</v>
      </c>
      <c r="B18" s="1332"/>
      <c r="C18" s="1332">
        <f>-3000*12</f>
        <v>-36000</v>
      </c>
      <c r="D18" s="1332">
        <f>-3000*12</f>
        <v>-36000</v>
      </c>
      <c r="E18" s="1332">
        <f>-3000*12</f>
        <v>-36000</v>
      </c>
      <c r="F18" s="1332">
        <f>-3000*12</f>
        <v>-36000</v>
      </c>
      <c r="G18" s="1332">
        <f>-3000*12</f>
        <v>-36000</v>
      </c>
      <c r="H18" s="1334"/>
      <c r="I18" s="1334"/>
      <c r="J18" s="1334"/>
      <c r="K18" s="1334"/>
      <c r="L18" s="1334"/>
      <c r="M18" s="1334"/>
      <c r="N18" s="1334"/>
      <c r="O18" s="1334"/>
      <c r="P18" s="1334"/>
      <c r="Q18" s="1334"/>
      <c r="R18" s="1334"/>
      <c r="S18" s="1334"/>
      <c r="T18" s="1334"/>
      <c r="U18" s="1334"/>
      <c r="V18" s="1334"/>
      <c r="W18" s="1334"/>
      <c r="X18" s="1334"/>
      <c r="Y18" s="1334"/>
      <c r="Z18" s="1334"/>
    </row>
    <row r="19" spans="1:26">
      <c r="A19" s="1334" t="s">
        <v>1314</v>
      </c>
      <c r="B19" s="1332"/>
      <c r="C19" s="1332"/>
      <c r="D19" s="1332">
        <v>-5490</v>
      </c>
      <c r="E19" s="1332">
        <v>-3873</v>
      </c>
      <c r="F19" s="1332">
        <v>-2052</v>
      </c>
      <c r="G19" s="1332"/>
      <c r="H19" s="1334"/>
      <c r="I19" s="1334"/>
      <c r="J19" s="1334"/>
      <c r="K19" s="1334"/>
      <c r="L19" s="1334"/>
      <c r="M19" s="1334"/>
      <c r="N19" s="1334"/>
      <c r="O19" s="1334"/>
      <c r="P19" s="1334"/>
      <c r="Q19" s="1334"/>
      <c r="R19" s="1334"/>
      <c r="S19" s="1334"/>
      <c r="T19" s="1334"/>
      <c r="U19" s="1334"/>
      <c r="V19" s="1334"/>
      <c r="W19" s="1334"/>
      <c r="X19" s="1334"/>
      <c r="Y19" s="1334"/>
      <c r="Z19" s="1334"/>
    </row>
    <row r="20" spans="1:26">
      <c r="A20" s="1325"/>
      <c r="B20" s="1332"/>
      <c r="C20" s="1338"/>
      <c r="D20" s="1338"/>
      <c r="E20" s="1338"/>
      <c r="F20" s="1338"/>
      <c r="G20" s="1338"/>
      <c r="H20" s="1334"/>
      <c r="I20" s="1334"/>
      <c r="J20" s="1334"/>
      <c r="K20" s="1334"/>
      <c r="L20" s="1334"/>
      <c r="M20" s="1334"/>
      <c r="N20" s="1334"/>
      <c r="O20" s="1334"/>
      <c r="P20" s="1334"/>
      <c r="Q20" s="1334"/>
      <c r="R20" s="1334"/>
      <c r="S20" s="1334"/>
      <c r="T20" s="1334"/>
      <c r="U20" s="1334"/>
      <c r="V20" s="1334"/>
      <c r="W20" s="1334"/>
      <c r="X20" s="1334"/>
      <c r="Y20" s="1334"/>
      <c r="Z20" s="1334"/>
    </row>
    <row r="21" spans="1:26">
      <c r="A21" s="1325"/>
      <c r="B21" s="1332"/>
      <c r="C21" s="1338"/>
      <c r="D21" s="1338"/>
      <c r="E21" s="1338"/>
      <c r="F21" s="1338"/>
      <c r="G21" s="1338"/>
      <c r="H21" s="1334"/>
      <c r="I21" s="1334"/>
      <c r="J21" s="1334"/>
      <c r="K21" s="1334"/>
      <c r="L21" s="1334"/>
      <c r="M21" s="1334"/>
      <c r="N21" s="1334"/>
      <c r="O21" s="1334"/>
      <c r="P21" s="1334"/>
      <c r="Q21" s="1334"/>
      <c r="R21" s="1334"/>
      <c r="S21" s="1334"/>
      <c r="T21" s="1334"/>
      <c r="U21" s="1334"/>
      <c r="V21" s="1334"/>
      <c r="W21" s="1334"/>
      <c r="X21" s="1334"/>
      <c r="Y21" s="1334"/>
      <c r="Z21" s="1334"/>
    </row>
    <row r="22" spans="1:26">
      <c r="A22" s="1325"/>
      <c r="B22" s="1332"/>
      <c r="C22" s="1338"/>
      <c r="D22" s="1338"/>
      <c r="E22" s="1338"/>
      <c r="F22" s="1338"/>
      <c r="G22" s="1338"/>
      <c r="H22" s="1334"/>
      <c r="I22" s="1334"/>
      <c r="J22" s="1334"/>
      <c r="K22" s="1334"/>
      <c r="L22" s="1334"/>
      <c r="M22" s="1334"/>
      <c r="N22" s="1334"/>
      <c r="O22" s="1334"/>
      <c r="P22" s="1334"/>
      <c r="Q22" s="1334"/>
      <c r="R22" s="1334"/>
      <c r="S22" s="1334"/>
      <c r="T22" s="1334"/>
      <c r="U22" s="1334"/>
      <c r="V22" s="1334"/>
      <c r="W22" s="1334"/>
      <c r="X22" s="1334"/>
      <c r="Y22" s="1334"/>
      <c r="Z22" s="1334"/>
    </row>
    <row r="23" spans="1:26">
      <c r="A23" s="1325"/>
      <c r="B23" s="1332"/>
      <c r="C23" s="1338"/>
      <c r="D23" s="1338"/>
      <c r="E23" s="1338"/>
      <c r="F23" s="1338"/>
      <c r="G23" s="1338"/>
      <c r="H23" s="1334"/>
      <c r="I23" s="1334"/>
      <c r="J23" s="1334"/>
      <c r="K23" s="1334"/>
      <c r="L23" s="1334"/>
      <c r="M23" s="1334"/>
      <c r="N23" s="1334"/>
      <c r="O23" s="1334"/>
      <c r="P23" s="1334"/>
      <c r="Q23" s="1334"/>
      <c r="R23" s="1334"/>
      <c r="S23" s="1334"/>
      <c r="T23" s="1334"/>
      <c r="U23" s="1334"/>
      <c r="V23" s="1334"/>
      <c r="W23" s="1334"/>
      <c r="X23" s="1334"/>
      <c r="Y23" s="1334"/>
      <c r="Z23" s="1334"/>
    </row>
    <row r="24" spans="1:26">
      <c r="A24" s="1325"/>
      <c r="B24" s="1332"/>
      <c r="C24" s="1338"/>
      <c r="D24" s="1338"/>
      <c r="E24" s="1338"/>
      <c r="F24" s="1338"/>
      <c r="G24" s="1338"/>
      <c r="H24" s="1334"/>
      <c r="I24" s="1334"/>
      <c r="J24" s="1334"/>
      <c r="K24" s="1334"/>
      <c r="L24" s="1334"/>
      <c r="M24" s="1334"/>
      <c r="N24" s="1334"/>
      <c r="O24" s="1334"/>
      <c r="P24" s="1334"/>
      <c r="Q24" s="1334"/>
      <c r="R24" s="1334"/>
      <c r="S24" s="1334"/>
      <c r="T24" s="1334"/>
      <c r="U24" s="1334"/>
      <c r="V24" s="1334"/>
      <c r="W24" s="1334"/>
      <c r="X24" s="1334"/>
      <c r="Y24" s="1334"/>
      <c r="Z24" s="1334"/>
    </row>
    <row r="25" spans="1:26">
      <c r="A25" s="1325"/>
      <c r="B25" s="1332"/>
      <c r="C25" s="1338"/>
      <c r="D25" s="1338"/>
      <c r="E25" s="1338"/>
      <c r="F25" s="1338"/>
      <c r="G25" s="1338"/>
      <c r="H25" s="1334"/>
      <c r="I25" s="1334"/>
      <c r="J25" s="1334"/>
      <c r="K25" s="1334"/>
      <c r="L25" s="1334"/>
      <c r="M25" s="1334"/>
      <c r="N25" s="1334"/>
      <c r="O25" s="1334"/>
      <c r="P25" s="1334"/>
      <c r="Q25" s="1334"/>
      <c r="R25" s="1334"/>
      <c r="S25" s="1334"/>
      <c r="T25" s="1334"/>
      <c r="U25" s="1334"/>
      <c r="V25" s="1334"/>
      <c r="W25" s="1334"/>
      <c r="X25" s="1334"/>
      <c r="Y25" s="1334"/>
      <c r="Z25" s="1334"/>
    </row>
    <row r="26" spans="1:26">
      <c r="A26" s="1325"/>
      <c r="B26" s="1332"/>
      <c r="C26" s="1338"/>
      <c r="D26" s="1338"/>
      <c r="E26" s="1338"/>
      <c r="F26" s="1338"/>
      <c r="G26" s="1338"/>
      <c r="H26" s="1334"/>
      <c r="I26" s="1334"/>
      <c r="J26" s="1334"/>
      <c r="K26" s="1334"/>
      <c r="L26" s="1334"/>
      <c r="M26" s="1334"/>
      <c r="N26" s="1334"/>
      <c r="O26" s="1334"/>
      <c r="P26" s="1334"/>
      <c r="Q26" s="1334"/>
      <c r="R26" s="1334"/>
      <c r="S26" s="1334"/>
      <c r="T26" s="1334"/>
      <c r="U26" s="1334"/>
      <c r="V26" s="1334"/>
      <c r="W26" s="1334"/>
      <c r="X26" s="1334"/>
      <c r="Y26" s="1334"/>
      <c r="Z26" s="1334"/>
    </row>
    <row r="27" spans="1:26">
      <c r="A27" s="1325"/>
      <c r="B27" s="1332"/>
      <c r="C27" s="1338"/>
      <c r="D27" s="1338"/>
      <c r="E27" s="1338"/>
      <c r="F27" s="1338"/>
      <c r="G27" s="1338"/>
      <c r="H27" s="1334"/>
      <c r="I27" s="1334"/>
      <c r="J27" s="1334"/>
      <c r="K27" s="1334"/>
      <c r="L27" s="1334"/>
      <c r="M27" s="1334"/>
      <c r="N27" s="1334"/>
      <c r="O27" s="1334"/>
      <c r="P27" s="1334"/>
      <c r="Q27" s="1334"/>
      <c r="R27" s="1334"/>
      <c r="S27" s="1334"/>
      <c r="T27" s="1334"/>
      <c r="U27" s="1334"/>
      <c r="V27" s="1334"/>
      <c r="W27" s="1334"/>
      <c r="X27" s="1334"/>
      <c r="Y27" s="1334"/>
      <c r="Z27" s="1334"/>
    </row>
    <row r="28" spans="1:26">
      <c r="A28" s="1325"/>
      <c r="B28" s="1332"/>
      <c r="C28" s="1338"/>
      <c r="D28" s="1338"/>
      <c r="E28" s="1338"/>
      <c r="F28" s="1338"/>
      <c r="G28" s="1338"/>
      <c r="H28" s="1334"/>
      <c r="I28" s="1334"/>
      <c r="J28" s="1334"/>
      <c r="K28" s="1334"/>
      <c r="L28" s="1334"/>
      <c r="M28" s="1334"/>
      <c r="N28" s="1334"/>
      <c r="O28" s="1334"/>
      <c r="P28" s="1334"/>
      <c r="Q28" s="1334"/>
      <c r="R28" s="1334"/>
      <c r="S28" s="1334"/>
      <c r="T28" s="1334"/>
      <c r="U28" s="1334"/>
      <c r="V28" s="1334"/>
      <c r="W28" s="1334"/>
      <c r="X28" s="1334"/>
      <c r="Y28" s="1334"/>
      <c r="Z28" s="1334"/>
    </row>
    <row r="29" spans="1:26">
      <c r="A29" s="1329" t="s">
        <v>1315</v>
      </c>
      <c r="B29" s="1339"/>
      <c r="C29" s="1339"/>
      <c r="D29" s="1339"/>
      <c r="E29" s="1339"/>
      <c r="F29" s="1339"/>
      <c r="G29" s="1339"/>
    </row>
    <row r="30" spans="1:26">
      <c r="A30" s="1337" t="s">
        <v>1316</v>
      </c>
      <c r="B30" s="1332"/>
      <c r="C30" s="1332">
        <f>$B$49/5</f>
        <v>-32000</v>
      </c>
      <c r="D30" s="1332">
        <f>$B$49/5</f>
        <v>-32000</v>
      </c>
      <c r="E30" s="1332">
        <f>$B$49/5</f>
        <v>-32000</v>
      </c>
      <c r="F30" s="1332">
        <f>$B$49/5</f>
        <v>-32000</v>
      </c>
      <c r="G30" s="1332">
        <f>$B$49/5</f>
        <v>-32000</v>
      </c>
    </row>
    <row r="31" spans="1:26">
      <c r="A31" s="1337" t="s">
        <v>1317</v>
      </c>
      <c r="B31" s="1332"/>
      <c r="C31" s="1332">
        <f>$B$50/5</f>
        <v>-880000</v>
      </c>
      <c r="D31" s="1332">
        <f>$B$50/5</f>
        <v>-880000</v>
      </c>
      <c r="E31" s="1332">
        <f>$B$50/5</f>
        <v>-880000</v>
      </c>
      <c r="F31" s="1332">
        <f>$B$50/5</f>
        <v>-880000</v>
      </c>
      <c r="G31" s="1332">
        <f>$B$50/5</f>
        <v>-880000</v>
      </c>
      <c r="H31" s="1334"/>
      <c r="I31" s="1334"/>
      <c r="J31" s="1334"/>
      <c r="K31" s="1334"/>
      <c r="L31" s="1334"/>
      <c r="M31" s="1334"/>
      <c r="N31" s="1334"/>
      <c r="O31" s="1334"/>
      <c r="P31" s="1334"/>
      <c r="Q31" s="1334"/>
      <c r="R31" s="1334"/>
      <c r="S31" s="1334"/>
      <c r="T31" s="1334"/>
      <c r="U31" s="1334"/>
      <c r="V31" s="1334"/>
      <c r="W31" s="1334"/>
      <c r="X31" s="1334"/>
      <c r="Y31" s="1334"/>
      <c r="Z31" s="1334"/>
    </row>
    <row r="32" spans="1:26">
      <c r="A32" s="1334" t="s">
        <v>1318</v>
      </c>
      <c r="B32" s="1332"/>
      <c r="C32" s="1332">
        <f>$B$51/5</f>
        <v>-120000</v>
      </c>
      <c r="D32" s="1332">
        <f>$B$51/5</f>
        <v>-120000</v>
      </c>
      <c r="E32" s="1332">
        <f>$B$51/5</f>
        <v>-120000</v>
      </c>
      <c r="F32" s="1332">
        <f>$B$51/5</f>
        <v>-120000</v>
      </c>
      <c r="G32" s="1332">
        <f>$B$51/5</f>
        <v>-120000</v>
      </c>
      <c r="H32" s="1334"/>
      <c r="I32" s="1334"/>
      <c r="J32" s="1334"/>
      <c r="K32" s="1334"/>
      <c r="L32" s="1334"/>
      <c r="M32" s="1334"/>
      <c r="N32" s="1334"/>
      <c r="O32" s="1334"/>
      <c r="P32" s="1334"/>
      <c r="Q32" s="1334"/>
      <c r="R32" s="1334"/>
      <c r="S32" s="1334"/>
      <c r="T32" s="1334"/>
      <c r="U32" s="1334"/>
      <c r="V32" s="1334"/>
      <c r="W32" s="1334"/>
      <c r="X32" s="1334"/>
      <c r="Y32" s="1334"/>
      <c r="Z32" s="1334"/>
    </row>
    <row r="33" spans="1:26">
      <c r="A33" s="1334" t="s">
        <v>1319</v>
      </c>
      <c r="B33" s="1332"/>
      <c r="C33" s="1332">
        <f>$B$52/5</f>
        <v>-360000</v>
      </c>
      <c r="D33" s="1332">
        <f>$B$52/5</f>
        <v>-360000</v>
      </c>
      <c r="E33" s="1332">
        <f>$B$52/5</f>
        <v>-360000</v>
      </c>
      <c r="F33" s="1332">
        <f>$B$52/5</f>
        <v>-360000</v>
      </c>
      <c r="G33" s="1332">
        <f>$B$52/5</f>
        <v>-360000</v>
      </c>
      <c r="H33" s="1334"/>
      <c r="I33" s="1334"/>
      <c r="J33" s="1334"/>
      <c r="K33" s="1334"/>
      <c r="L33" s="1334"/>
      <c r="M33" s="1334"/>
      <c r="N33" s="1334"/>
      <c r="O33" s="1334"/>
      <c r="P33" s="1334"/>
      <c r="Q33" s="1334"/>
      <c r="R33" s="1334"/>
      <c r="S33" s="1334"/>
      <c r="T33" s="1334"/>
      <c r="U33" s="1334"/>
      <c r="V33" s="1334"/>
      <c r="W33" s="1334"/>
      <c r="X33" s="1334"/>
      <c r="Y33" s="1334"/>
      <c r="Z33" s="1334"/>
    </row>
    <row r="34" spans="1:26">
      <c r="A34" s="1334" t="s">
        <v>1320</v>
      </c>
      <c r="B34" s="1332"/>
      <c r="C34" s="1332"/>
      <c r="D34" s="1332"/>
      <c r="E34" s="1332"/>
      <c r="F34" s="1332">
        <f>$E$53/5</f>
        <v>-200000</v>
      </c>
      <c r="G34" s="1332">
        <f>$E$53/5</f>
        <v>-200000</v>
      </c>
      <c r="H34" s="1334"/>
      <c r="I34" s="1334"/>
      <c r="J34" s="1334"/>
      <c r="K34" s="1334"/>
      <c r="L34" s="1334"/>
      <c r="M34" s="1334"/>
      <c r="N34" s="1334"/>
      <c r="O34" s="1334"/>
      <c r="P34" s="1334"/>
      <c r="Q34" s="1334"/>
      <c r="R34" s="1334"/>
      <c r="S34" s="1334"/>
      <c r="T34" s="1334"/>
      <c r="U34" s="1334"/>
      <c r="V34" s="1334"/>
      <c r="W34" s="1334"/>
      <c r="X34" s="1334"/>
      <c r="Y34" s="1334"/>
      <c r="Z34" s="1334"/>
    </row>
    <row r="35" spans="1:26">
      <c r="A35" s="1334" t="s">
        <v>1321</v>
      </c>
      <c r="B35" s="1332"/>
      <c r="C35" s="1332"/>
      <c r="D35" s="1332"/>
      <c r="E35" s="1332"/>
      <c r="F35" s="1332">
        <f>$E$54/5</f>
        <v>-24000</v>
      </c>
      <c r="G35" s="1332">
        <f>$E$54/5</f>
        <v>-24000</v>
      </c>
      <c r="H35" s="1334"/>
      <c r="I35" s="1334"/>
      <c r="J35" s="1334"/>
      <c r="K35" s="1334"/>
      <c r="L35" s="1334"/>
      <c r="M35" s="1334"/>
      <c r="N35" s="1334"/>
      <c r="O35" s="1334"/>
      <c r="P35" s="1334"/>
      <c r="Q35" s="1334"/>
      <c r="R35" s="1334"/>
      <c r="S35" s="1334"/>
      <c r="T35" s="1334"/>
      <c r="U35" s="1334"/>
      <c r="V35" s="1334"/>
      <c r="W35" s="1334"/>
      <c r="X35" s="1334"/>
      <c r="Y35" s="1334"/>
      <c r="Z35" s="1334"/>
    </row>
    <row r="36" spans="1:26">
      <c r="A36" s="1334" t="s">
        <v>1322</v>
      </c>
      <c r="B36" s="1332"/>
      <c r="C36" s="1332"/>
      <c r="D36" s="1332"/>
      <c r="E36" s="1332"/>
      <c r="F36" s="1332">
        <f>$E$53/3</f>
        <v>-333333.33333333331</v>
      </c>
      <c r="G36" s="1332">
        <f>$E$53/3</f>
        <v>-333333.33333333331</v>
      </c>
      <c r="H36" s="1334"/>
      <c r="I36" s="1334"/>
      <c r="J36" s="1334"/>
      <c r="K36" s="1334"/>
      <c r="L36" s="1334"/>
      <c r="M36" s="1334"/>
      <c r="N36" s="1334"/>
      <c r="O36" s="1334"/>
      <c r="P36" s="1334"/>
      <c r="Q36" s="1334"/>
      <c r="R36" s="1334"/>
      <c r="S36" s="1334"/>
      <c r="T36" s="1334"/>
      <c r="U36" s="1334"/>
      <c r="V36" s="1334"/>
      <c r="W36" s="1334"/>
      <c r="X36" s="1334"/>
      <c r="Y36" s="1334"/>
      <c r="Z36" s="1334"/>
    </row>
    <row r="37" spans="1:26" ht="15.75" thickBot="1">
      <c r="A37" s="1334" t="s">
        <v>1323</v>
      </c>
      <c r="B37" s="1332"/>
      <c r="C37" s="1332"/>
      <c r="D37" s="1332"/>
      <c r="E37" s="1332"/>
      <c r="F37" s="1332">
        <f>$E$54/3</f>
        <v>-40000</v>
      </c>
      <c r="G37" s="1332">
        <f>$E$54/3</f>
        <v>-40000</v>
      </c>
      <c r="H37" s="1334"/>
      <c r="I37" s="1334"/>
      <c r="J37" s="1334"/>
      <c r="K37" s="1334"/>
      <c r="L37" s="1334"/>
      <c r="M37" s="1334"/>
      <c r="N37" s="1334"/>
      <c r="O37" s="1334"/>
      <c r="P37" s="1334"/>
      <c r="Q37" s="1334"/>
      <c r="R37" s="1334"/>
      <c r="S37" s="1334"/>
      <c r="T37" s="1334"/>
      <c r="U37" s="1334"/>
      <c r="V37" s="1334"/>
      <c r="W37" s="1334"/>
      <c r="X37" s="1334"/>
      <c r="Y37" s="1334"/>
      <c r="Z37" s="1334"/>
    </row>
    <row r="38" spans="1:26" ht="18.75" customHeight="1" thickTop="1" thickBot="1">
      <c r="A38" s="1340" t="s">
        <v>1324</v>
      </c>
      <c r="B38" s="1341"/>
      <c r="C38" s="1342">
        <f>SUM(C6:C37)</f>
        <v>4297000</v>
      </c>
      <c r="D38" s="1342">
        <f>SUM(D6:D37)</f>
        <v>5531510</v>
      </c>
      <c r="E38" s="1342">
        <f>SUM(E6:E37)</f>
        <v>6895627</v>
      </c>
      <c r="F38" s="1342">
        <f>SUM(F6:F37)</f>
        <v>8991014.6666666679</v>
      </c>
      <c r="G38" s="1343">
        <f>SUM(G6:G37)</f>
        <v>13541336.66666667</v>
      </c>
      <c r="H38" s="1344"/>
      <c r="I38" s="1344"/>
      <c r="J38" s="1344"/>
      <c r="K38" s="1344"/>
      <c r="L38" s="1344"/>
      <c r="M38" s="1344"/>
      <c r="N38" s="1344"/>
      <c r="O38" s="1344"/>
      <c r="P38" s="1344"/>
      <c r="Q38" s="1344"/>
      <c r="R38" s="1344"/>
      <c r="S38" s="1344"/>
      <c r="T38" s="1344"/>
      <c r="U38" s="1344"/>
      <c r="V38" s="1344"/>
      <c r="W38" s="1344"/>
      <c r="X38" s="1344"/>
      <c r="Y38" s="1344"/>
      <c r="Z38" s="1344"/>
    </row>
    <row r="39" spans="1:26" ht="8.25" customHeight="1" thickTop="1">
      <c r="A39" s="1334"/>
      <c r="B39" s="1332"/>
      <c r="C39" s="1332"/>
      <c r="D39" s="1332"/>
      <c r="E39" s="1332"/>
      <c r="F39" s="1332"/>
      <c r="G39" s="1332"/>
      <c r="H39" s="1334"/>
      <c r="I39" s="1334"/>
      <c r="J39" s="1334"/>
      <c r="K39" s="1334"/>
      <c r="L39" s="1334"/>
      <c r="M39" s="1334"/>
      <c r="N39" s="1334"/>
      <c r="O39" s="1334"/>
      <c r="P39" s="1334"/>
      <c r="Q39" s="1334"/>
      <c r="R39" s="1334"/>
      <c r="S39" s="1334"/>
      <c r="T39" s="1334"/>
      <c r="U39" s="1334"/>
      <c r="V39" s="1334"/>
      <c r="W39" s="1334"/>
      <c r="X39" s="1334"/>
      <c r="Y39" s="1334"/>
      <c r="Z39" s="1334"/>
    </row>
    <row r="40" spans="1:26">
      <c r="A40" s="1345" t="s">
        <v>1325</v>
      </c>
      <c r="B40" s="1346">
        <v>0.2</v>
      </c>
      <c r="C40" s="1332">
        <f>C38*B40</f>
        <v>859400</v>
      </c>
      <c r="D40" s="1332">
        <f>D38*B40</f>
        <v>1106302</v>
      </c>
      <c r="E40" s="1332">
        <f>E38*B40</f>
        <v>1379125.4000000001</v>
      </c>
      <c r="F40" s="1332">
        <f>F38*B40</f>
        <v>1798202.9333333336</v>
      </c>
      <c r="G40" s="1332">
        <f>G38*B40</f>
        <v>2708267.333333334</v>
      </c>
      <c r="I40" s="1325" t="s">
        <v>1454</v>
      </c>
      <c r="J40" s="1347"/>
    </row>
    <row r="41" spans="1:26" ht="8.25" customHeight="1" thickBot="1">
      <c r="A41" s="1337"/>
      <c r="B41" s="1332"/>
      <c r="C41" s="1348"/>
      <c r="D41" s="1348"/>
      <c r="E41" s="1348"/>
      <c r="F41" s="1348"/>
      <c r="G41" s="1348"/>
      <c r="J41" s="1347"/>
    </row>
    <row r="42" spans="1:26" ht="17.25" thickTop="1" thickBot="1">
      <c r="A42" s="1340" t="s">
        <v>1326</v>
      </c>
      <c r="B42" s="1349"/>
      <c r="C42" s="1350">
        <f>C38+(-C40)</f>
        <v>3437600</v>
      </c>
      <c r="D42" s="1350">
        <f>D38+(-D40)</f>
        <v>4425208</v>
      </c>
      <c r="E42" s="1350">
        <f>E38+(-E40)</f>
        <v>5516501.5999999996</v>
      </c>
      <c r="F42" s="1350">
        <f>F38+(-F40)</f>
        <v>7192811.7333333343</v>
      </c>
      <c r="G42" s="1351">
        <f>G38+(-G40)</f>
        <v>10833069.333333336</v>
      </c>
      <c r="H42" s="1352"/>
      <c r="I42" s="1352"/>
      <c r="J42" s="1352"/>
      <c r="K42" s="1352"/>
      <c r="L42" s="1352"/>
      <c r="M42" s="1352"/>
      <c r="N42" s="1352"/>
      <c r="O42" s="1352"/>
      <c r="P42" s="1352"/>
      <c r="Q42" s="1352"/>
      <c r="R42" s="1352"/>
      <c r="S42" s="1352"/>
      <c r="T42" s="1352"/>
      <c r="U42" s="1352"/>
      <c r="V42" s="1352"/>
      <c r="W42" s="1352"/>
      <c r="X42" s="1352"/>
      <c r="Y42" s="1352"/>
      <c r="Z42" s="1352"/>
    </row>
    <row r="43" spans="1:26" ht="15.75" customHeight="1" thickTop="1">
      <c r="A43" s="1334"/>
      <c r="B43" s="1332"/>
      <c r="C43" s="1332"/>
      <c r="D43" s="1332"/>
      <c r="E43" s="1332"/>
      <c r="F43" s="1332"/>
      <c r="G43" s="1332"/>
    </row>
    <row r="44" spans="1:26" ht="15.75" customHeight="1">
      <c r="A44" s="1353" t="s">
        <v>1327</v>
      </c>
      <c r="B44" s="1354"/>
      <c r="C44" s="1354"/>
      <c r="D44" s="1354"/>
      <c r="E44" s="1354"/>
      <c r="F44" s="1354"/>
      <c r="G44" s="1354"/>
    </row>
    <row r="45" spans="1:26" ht="15.75" customHeight="1">
      <c r="A45" s="1334" t="s">
        <v>135</v>
      </c>
      <c r="B45" s="1332">
        <v>43288</v>
      </c>
      <c r="C45" s="1332"/>
      <c r="D45" s="1332"/>
      <c r="E45" s="1332"/>
      <c r="F45" s="1332"/>
      <c r="G45" s="1332"/>
    </row>
    <row r="46" spans="1:26" ht="15.75" customHeight="1">
      <c r="A46" s="1334" t="s">
        <v>1328</v>
      </c>
      <c r="B46" s="1332"/>
      <c r="C46" s="1332"/>
      <c r="D46" s="1332"/>
      <c r="E46" s="1332"/>
      <c r="F46" s="1332"/>
      <c r="G46" s="1332">
        <f>(B55+C55+D55+E55)*-1</f>
        <v>431065.66</v>
      </c>
    </row>
    <row r="47" spans="1:26" ht="15.75" customHeight="1">
      <c r="A47" s="1334"/>
      <c r="B47" s="1332"/>
      <c r="C47" s="1332"/>
      <c r="D47" s="1332"/>
      <c r="E47" s="1332"/>
      <c r="F47" s="1332"/>
      <c r="G47" s="1332"/>
      <c r="J47" s="1352"/>
      <c r="K47" s="1352"/>
    </row>
    <row r="48" spans="1:26" ht="15.75" customHeight="1">
      <c r="A48" s="1355" t="s">
        <v>1329</v>
      </c>
      <c r="B48" s="1354"/>
      <c r="C48" s="1354"/>
      <c r="D48" s="1354"/>
      <c r="E48" s="1354"/>
      <c r="F48" s="1354"/>
      <c r="G48" s="1354"/>
    </row>
    <row r="49" spans="1:26" ht="15.75" customHeight="1">
      <c r="A49" s="1325" t="s">
        <v>1330</v>
      </c>
      <c r="B49" s="1333">
        <v>-160000</v>
      </c>
      <c r="C49" s="1333"/>
      <c r="D49" s="1333"/>
      <c r="E49" s="1333"/>
      <c r="F49" s="1333"/>
      <c r="G49" s="1332"/>
    </row>
    <row r="50" spans="1:26" ht="15.75" customHeight="1">
      <c r="A50" s="1325" t="s">
        <v>1331</v>
      </c>
      <c r="B50" s="1333">
        <f>-2200000*2</f>
        <v>-4400000</v>
      </c>
      <c r="C50" s="1333"/>
      <c r="D50" s="1333"/>
      <c r="E50" s="1333"/>
      <c r="F50" s="1333"/>
      <c r="G50" s="1333"/>
    </row>
    <row r="51" spans="1:26" ht="15.75" customHeight="1">
      <c r="A51" s="1331" t="s">
        <v>1332</v>
      </c>
      <c r="B51" s="1333">
        <f>-60000*10</f>
        <v>-600000</v>
      </c>
      <c r="C51" s="1333"/>
      <c r="D51" s="1333"/>
      <c r="E51" s="1333"/>
      <c r="F51" s="1333"/>
      <c r="G51" s="1333"/>
    </row>
    <row r="52" spans="1:26" ht="15.75" customHeight="1">
      <c r="A52" s="1334" t="s">
        <v>1333</v>
      </c>
      <c r="B52" s="1332">
        <v>-1800000</v>
      </c>
      <c r="C52" s="1332"/>
      <c r="D52" s="1332"/>
      <c r="E52" s="1332"/>
      <c r="F52" s="1332"/>
      <c r="G52" s="1332"/>
    </row>
    <row r="53" spans="1:26" ht="15.75" customHeight="1">
      <c r="A53" s="1334" t="s">
        <v>1334</v>
      </c>
      <c r="B53" s="1332"/>
      <c r="C53" s="1332"/>
      <c r="D53" s="1332"/>
      <c r="E53" s="1356">
        <v>-1000000</v>
      </c>
      <c r="F53" s="1332"/>
      <c r="G53" s="1332"/>
    </row>
    <row r="54" spans="1:26" ht="14.25" customHeight="1">
      <c r="A54" s="1334" t="s">
        <v>1335</v>
      </c>
      <c r="B54" s="1332"/>
      <c r="C54" s="1332"/>
      <c r="D54" s="1357"/>
      <c r="E54" s="1357">
        <f>-60000*2</f>
        <v>-120000</v>
      </c>
      <c r="F54" s="1332"/>
      <c r="G54" s="1332"/>
    </row>
    <row r="55" spans="1:26" ht="14.25" customHeight="1">
      <c r="A55" s="1334" t="s">
        <v>236</v>
      </c>
      <c r="B55" s="1332">
        <v>-269416.65999999997</v>
      </c>
      <c r="C55" s="1332">
        <v>-38488</v>
      </c>
      <c r="D55" s="1332">
        <v>-38488</v>
      </c>
      <c r="E55" s="1332">
        <v>-84673</v>
      </c>
      <c r="F55" s="1332"/>
      <c r="G55" s="1332"/>
      <c r="H55" s="1325" t="s">
        <v>595</v>
      </c>
    </row>
    <row r="56" spans="1:26" ht="14.25" customHeight="1">
      <c r="A56" s="1334" t="s">
        <v>1336</v>
      </c>
      <c r="B56" s="1332">
        <v>-100000</v>
      </c>
      <c r="C56" s="1332"/>
      <c r="D56" s="1332"/>
      <c r="E56" s="1332"/>
      <c r="F56" s="1332"/>
      <c r="G56" s="1332"/>
      <c r="H56" s="1325" t="s">
        <v>1337</v>
      </c>
    </row>
    <row r="57" spans="1:26" ht="14.25" customHeight="1">
      <c r="A57" s="1334" t="s">
        <v>1338</v>
      </c>
      <c r="B57" s="1332">
        <v>-5000</v>
      </c>
      <c r="C57" s="1332"/>
      <c r="D57" s="1332"/>
      <c r="E57" s="1332"/>
      <c r="F57" s="1332"/>
      <c r="G57" s="1332"/>
    </row>
    <row r="58" spans="1:26" ht="14.25" customHeight="1">
      <c r="A58" s="1334" t="s">
        <v>1339</v>
      </c>
      <c r="B58" s="1332"/>
      <c r="C58" s="1332"/>
      <c r="D58" s="1332">
        <v>-12744</v>
      </c>
      <c r="E58" s="1332">
        <v>-14361</v>
      </c>
      <c r="F58" s="1332">
        <v>-16182</v>
      </c>
      <c r="G58" s="1332"/>
    </row>
    <row r="59" spans="1:26" ht="15.75" customHeight="1">
      <c r="A59" s="1353" t="s">
        <v>1340</v>
      </c>
      <c r="B59" s="1354"/>
      <c r="C59" s="1354"/>
      <c r="D59" s="1354"/>
      <c r="E59" s="1354"/>
      <c r="F59" s="1354"/>
      <c r="G59" s="1354"/>
    </row>
    <row r="60" spans="1:26" ht="15.75" customHeight="1">
      <c r="A60" s="1337" t="s">
        <v>1341</v>
      </c>
      <c r="B60" s="1332">
        <f t="shared" ref="B60:G60" si="0">-SUM(B30:B37)</f>
        <v>0</v>
      </c>
      <c r="C60" s="1332">
        <f t="shared" si="0"/>
        <v>1392000</v>
      </c>
      <c r="D60" s="1332">
        <f t="shared" si="0"/>
        <v>1392000</v>
      </c>
      <c r="E60" s="1332">
        <f t="shared" si="0"/>
        <v>1392000</v>
      </c>
      <c r="F60" s="1332">
        <f t="shared" si="0"/>
        <v>1989333.3333333333</v>
      </c>
      <c r="G60" s="1332">
        <f t="shared" si="0"/>
        <v>1989333.3333333333</v>
      </c>
    </row>
    <row r="61" spans="1:26" ht="15.75" customHeight="1" thickBot="1">
      <c r="A61" s="1337"/>
      <c r="B61" s="1332"/>
      <c r="C61" s="1332"/>
      <c r="D61" s="1332"/>
      <c r="E61" s="1332"/>
      <c r="F61" s="1332"/>
      <c r="G61" s="1332"/>
      <c r="I61" s="1334"/>
    </row>
    <row r="62" spans="1:26" ht="27" customHeight="1" thickTop="1" thickBot="1">
      <c r="A62" s="1358" t="s">
        <v>1342</v>
      </c>
      <c r="B62" s="1359">
        <f t="shared" ref="B62:G62" si="1">SUM(B42:B61)</f>
        <v>-7291128.6600000001</v>
      </c>
      <c r="C62" s="1359">
        <f t="shared" si="1"/>
        <v>4791112</v>
      </c>
      <c r="D62" s="1359">
        <f t="shared" si="1"/>
        <v>5765976</v>
      </c>
      <c r="E62" s="1359">
        <f t="shared" si="1"/>
        <v>5689467.5999999996</v>
      </c>
      <c r="F62" s="1359">
        <f t="shared" si="1"/>
        <v>9165963.0666666683</v>
      </c>
      <c r="G62" s="1360">
        <f t="shared" si="1"/>
        <v>13253468.32666667</v>
      </c>
      <c r="H62" s="1361"/>
      <c r="I62" s="1361"/>
      <c r="J62" s="1361"/>
      <c r="K62" s="1361"/>
      <c r="L62" s="1361"/>
      <c r="M62" s="1361"/>
      <c r="N62" s="1361"/>
      <c r="O62" s="1361"/>
      <c r="P62" s="1361"/>
      <c r="Q62" s="1361"/>
      <c r="R62" s="1361"/>
      <c r="S62" s="1361"/>
      <c r="T62" s="1361"/>
      <c r="U62" s="1361"/>
      <c r="V62" s="1361"/>
      <c r="W62" s="1361"/>
      <c r="X62" s="1361"/>
      <c r="Y62" s="1361"/>
      <c r="Z62" s="1361"/>
    </row>
    <row r="63" spans="1:26" ht="15.75" customHeight="1" thickTop="1">
      <c r="A63" s="1362"/>
      <c r="B63" s="1363" t="s">
        <v>1343</v>
      </c>
      <c r="C63" s="1338">
        <f>C62/((1+B65)^1)</f>
        <v>3959596.6942148763</v>
      </c>
      <c r="D63" s="1338">
        <f>D62/((1+B65)^2)</f>
        <v>3938239.1913120691</v>
      </c>
      <c r="E63" s="1338">
        <f>E62/((1+B65)^3)</f>
        <v>3211556.1360856327</v>
      </c>
      <c r="F63" s="1338">
        <f>F62/((1+B65)^4)</f>
        <v>4275989.4173298422</v>
      </c>
      <c r="G63" s="1338">
        <f>G62/((1+B65)^5)</f>
        <v>5109785.7750131804</v>
      </c>
    </row>
    <row r="64" spans="1:26" ht="15.75" customHeight="1">
      <c r="A64" s="1364" t="s">
        <v>1344</v>
      </c>
      <c r="B64" s="1365">
        <f t="array" ref="B64">NPV(B65,C62:G62)+B62</f>
        <v>13204038.553955603</v>
      </c>
      <c r="C64" s="1338"/>
      <c r="D64" s="1338"/>
      <c r="E64" s="1338"/>
      <c r="F64" s="1338"/>
      <c r="G64" s="1338"/>
    </row>
    <row r="65" spans="1:6" ht="15.75" customHeight="1">
      <c r="A65" s="1366" t="s">
        <v>1345</v>
      </c>
      <c r="B65" s="1367">
        <v>0.21</v>
      </c>
      <c r="C65" s="1325" t="s">
        <v>1346</v>
      </c>
    </row>
    <row r="66" spans="1:6" ht="15.75" customHeight="1">
      <c r="A66" s="1366" t="s">
        <v>982</v>
      </c>
      <c r="B66" s="1367">
        <f>IRR(B62:G62)</f>
        <v>0.76781528539773203</v>
      </c>
    </row>
    <row r="67" spans="1:6" ht="15.75" customHeight="1">
      <c r="A67" s="1368" t="s">
        <v>1347</v>
      </c>
      <c r="B67" s="1369">
        <f>ABS(SUM(C63:G63)/B62)</f>
        <v>2.8109731935460873</v>
      </c>
      <c r="C67" s="1325"/>
    </row>
    <row r="68" spans="1:6" ht="15.75" customHeight="1">
      <c r="A68" s="1368" t="s">
        <v>1348</v>
      </c>
      <c r="B68" s="1370">
        <f>(C62+D62+E62+F62+G62+B62)/(B62*-1)</f>
        <v>4.3031552173066903</v>
      </c>
      <c r="D68" s="1371"/>
    </row>
    <row r="69" spans="1:6" ht="15.75" customHeight="1">
      <c r="B69" s="1372"/>
    </row>
    <row r="70" spans="1:6" ht="15.75" customHeight="1"/>
    <row r="71" spans="1:6" ht="15.75" customHeight="1">
      <c r="A71" s="1373" t="s">
        <v>1455</v>
      </c>
      <c r="B71" s="1374">
        <v>500000</v>
      </c>
      <c r="C71" s="1373" t="s">
        <v>1456</v>
      </c>
      <c r="D71" s="1374">
        <v>10</v>
      </c>
      <c r="E71" s="1373" t="s">
        <v>1457</v>
      </c>
      <c r="F71" s="1374">
        <v>400000</v>
      </c>
    </row>
    <row r="72" spans="1:6" ht="15.75" customHeight="1">
      <c r="A72" s="1373" t="s">
        <v>1458</v>
      </c>
      <c r="B72" s="1374">
        <f>180000-137000</f>
        <v>43000</v>
      </c>
      <c r="C72" s="1373" t="s">
        <v>1459</v>
      </c>
      <c r="D72" s="1374">
        <f>2+3.2+0.8</f>
        <v>6</v>
      </c>
      <c r="E72" s="1373" t="s">
        <v>1460</v>
      </c>
      <c r="F72" s="1374">
        <f>F71*D74</f>
        <v>459999.99999999994</v>
      </c>
    </row>
    <row r="73" spans="1:6" ht="15.75" customHeight="1">
      <c r="A73" s="1373" t="s">
        <v>1461</v>
      </c>
      <c r="B73" s="1374">
        <v>1.4</v>
      </c>
      <c r="C73" s="1373" t="s">
        <v>1462</v>
      </c>
      <c r="D73" s="1374">
        <v>400000</v>
      </c>
      <c r="E73" s="1373" t="s">
        <v>1463</v>
      </c>
      <c r="F73" s="1374">
        <f>F72*D75</f>
        <v>506000</v>
      </c>
    </row>
    <row r="74" spans="1:6" ht="15.75" customHeight="1">
      <c r="A74" s="1373" t="s">
        <v>1464</v>
      </c>
      <c r="B74" s="1374">
        <f>B72*B73</f>
        <v>60199.999999999993</v>
      </c>
      <c r="C74" s="1373" t="s">
        <v>1465</v>
      </c>
      <c r="D74" s="1374">
        <v>1.1499999999999999</v>
      </c>
      <c r="E74" s="1373" t="s">
        <v>1466</v>
      </c>
      <c r="F74" s="1374">
        <f>F73*D76</f>
        <v>531300</v>
      </c>
    </row>
    <row r="75" spans="1:6" ht="15.75" customHeight="1">
      <c r="A75" s="1373" t="s">
        <v>1467</v>
      </c>
      <c r="B75" s="1374">
        <f>B74*13</f>
        <v>782599.99999999988</v>
      </c>
      <c r="C75" s="1373" t="s">
        <v>1468</v>
      </c>
      <c r="D75" s="1374">
        <v>1.1000000000000001</v>
      </c>
      <c r="E75" s="1373" t="s">
        <v>1469</v>
      </c>
      <c r="F75" s="1374">
        <f>F74*D76</f>
        <v>557865</v>
      </c>
    </row>
    <row r="76" spans="1:6" ht="15.75" customHeight="1">
      <c r="C76" s="1373" t="s">
        <v>1470</v>
      </c>
      <c r="D76" s="1374">
        <v>1.05</v>
      </c>
    </row>
    <row r="77" spans="1:6" ht="15.75" customHeight="1"/>
    <row r="78" spans="1:6" ht="15.75" customHeight="1"/>
    <row r="79" spans="1:6" ht="15.75" customHeight="1">
      <c r="B79" s="1332"/>
    </row>
    <row r="80" spans="1:6" ht="15.75" customHeight="1">
      <c r="B80" s="1375" t="s">
        <v>1303</v>
      </c>
      <c r="C80" s="1376">
        <v>605000</v>
      </c>
      <c r="D80" s="1377"/>
      <c r="E80" s="1377"/>
    </row>
    <row r="81" spans="2:3" ht="15.75" customHeight="1">
      <c r="B81" s="1378" t="s">
        <v>1349</v>
      </c>
      <c r="C81" s="1379">
        <f>C80/1.21</f>
        <v>500000</v>
      </c>
    </row>
    <row r="82" spans="2:3" ht="15.75" customHeight="1">
      <c r="B82" s="1325" t="s">
        <v>1350</v>
      </c>
    </row>
    <row r="83" spans="2:3" ht="15.75" customHeight="1"/>
    <row r="84" spans="2:3" ht="15.75" customHeight="1"/>
    <row r="85" spans="2:3" ht="15.75" customHeight="1"/>
    <row r="86" spans="2:3" ht="15.75" customHeight="1"/>
    <row r="87" spans="2:3" ht="15.75" customHeight="1"/>
    <row r="88" spans="2:3" ht="15.75" customHeight="1"/>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pageMargins left="0.7" right="0.7" top="0.75" bottom="0.75" header="0" footer="0"/>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1D0A1-9CAE-457A-82F4-8434CA8C9EFA}">
  <dimension ref="A1:Z1030"/>
  <sheetViews>
    <sheetView showGridLines="0" topLeftCell="A2" zoomScale="90" zoomScaleNormal="90" workbookViewId="0">
      <selection activeCell="L35" sqref="L35"/>
    </sheetView>
  </sheetViews>
  <sheetFormatPr defaultColWidth="14.42578125" defaultRowHeight="15" customHeight="1"/>
  <cols>
    <col min="1" max="1" width="41.5703125" style="1323" customWidth="1"/>
    <col min="2" max="2" width="15.85546875" style="1323" customWidth="1"/>
    <col min="3" max="3" width="16.5703125" style="1323" customWidth="1"/>
    <col min="4" max="4" width="15" style="1323" customWidth="1"/>
    <col min="5" max="5" width="18.140625" style="1323" customWidth="1"/>
    <col min="6" max="7" width="16.140625" style="1323" customWidth="1"/>
    <col min="8" max="10" width="9.140625" style="1323" customWidth="1"/>
    <col min="11" max="11" width="14.5703125" style="1323" customWidth="1"/>
    <col min="12" max="26" width="9.140625" style="1323" customWidth="1"/>
    <col min="27" max="16384" width="14.42578125" style="1323"/>
  </cols>
  <sheetData>
    <row r="1" spans="1:26" ht="36" customHeight="1">
      <c r="A1" s="1321"/>
      <c r="B1" s="1321"/>
      <c r="C1" s="1322"/>
      <c r="D1" s="1322"/>
      <c r="E1" s="1322"/>
      <c r="F1" s="1322"/>
      <c r="G1" s="1322"/>
    </row>
    <row r="2" spans="1:26" ht="36" customHeight="1">
      <c r="A2" s="1324" t="s">
        <v>1294</v>
      </c>
      <c r="B2" s="1324"/>
      <c r="C2" s="1322">
        <f>10000*0.35</f>
        <v>3500</v>
      </c>
      <c r="D2" s="1322">
        <f>10000*0.4</f>
        <v>4000</v>
      </c>
      <c r="E2" s="1322">
        <f>10000*0.45</f>
        <v>4500</v>
      </c>
      <c r="F2" s="1322">
        <f>M4*0.5</f>
        <v>5600.0000000000009</v>
      </c>
      <c r="G2" s="1322">
        <f>F2</f>
        <v>5600.0000000000009</v>
      </c>
      <c r="K2" s="1325" t="s">
        <v>1295</v>
      </c>
    </row>
    <row r="3" spans="1:26" ht="36" customHeight="1">
      <c r="A3" s="1324" t="s">
        <v>1296</v>
      </c>
      <c r="B3" s="1326"/>
      <c r="C3" s="1327">
        <f>C2*K10</f>
        <v>2200659.1840715366</v>
      </c>
      <c r="D3" s="1327">
        <f>D2*L9</f>
        <v>2640791.0208858442</v>
      </c>
      <c r="E3" s="1327">
        <f>E2*M9</f>
        <v>3119434.3934214036</v>
      </c>
      <c r="F3" s="1327">
        <f>F2*N9</f>
        <v>4076060.9407373015</v>
      </c>
      <c r="G3" s="1327">
        <f>G2*O9</f>
        <v>4279863.9877741663</v>
      </c>
      <c r="K3" s="1325" t="s">
        <v>1297</v>
      </c>
    </row>
    <row r="4" spans="1:26" ht="36" customHeight="1">
      <c r="A4" s="1328" t="s">
        <v>1298</v>
      </c>
      <c r="B4" s="1328" t="s">
        <v>818</v>
      </c>
      <c r="C4" s="1328" t="s">
        <v>451</v>
      </c>
      <c r="D4" s="1328" t="s">
        <v>632</v>
      </c>
      <c r="E4" s="1328" t="s">
        <v>793</v>
      </c>
      <c r="F4" s="1328" t="s">
        <v>794</v>
      </c>
      <c r="G4" s="1328" t="s">
        <v>795</v>
      </c>
      <c r="K4" s="1325" t="s">
        <v>1299</v>
      </c>
      <c r="M4" s="1323">
        <f>10000*1.12</f>
        <v>11200.000000000002</v>
      </c>
    </row>
    <row r="5" spans="1:26">
      <c r="A5" s="1329" t="s">
        <v>1300</v>
      </c>
      <c r="B5" s="1330"/>
      <c r="C5" s="1330"/>
      <c r="D5" s="1330"/>
      <c r="E5" s="1330"/>
      <c r="F5" s="1330"/>
      <c r="G5" s="1330"/>
    </row>
    <row r="6" spans="1:26">
      <c r="A6" s="1331" t="s">
        <v>1296</v>
      </c>
      <c r="B6" s="1332"/>
      <c r="C6" s="1559">
        <f>C3</f>
        <v>2200659.1840715366</v>
      </c>
      <c r="D6" s="1559">
        <f>D3</f>
        <v>2640791.0208858442</v>
      </c>
      <c r="E6" s="1559">
        <f>E3</f>
        <v>3119434.3934214036</v>
      </c>
      <c r="F6" s="1559">
        <f>F3</f>
        <v>4076060.9407373015</v>
      </c>
      <c r="G6" s="1559">
        <f>G3</f>
        <v>4279863.9877741663</v>
      </c>
      <c r="H6" s="1334"/>
      <c r="I6" s="1334"/>
      <c r="J6" s="1334"/>
      <c r="K6" s="1334"/>
      <c r="L6" s="1334"/>
      <c r="M6" s="1334"/>
      <c r="N6" s="1334"/>
      <c r="O6" s="1334"/>
      <c r="P6" s="1334"/>
      <c r="Q6" s="1334"/>
      <c r="R6" s="1334"/>
      <c r="S6" s="1334"/>
      <c r="T6" s="1334"/>
      <c r="U6" s="1334"/>
      <c r="V6" s="1334"/>
      <c r="W6" s="1334"/>
      <c r="X6" s="1334"/>
      <c r="Y6" s="1334"/>
      <c r="Z6" s="1334"/>
    </row>
    <row r="7" spans="1:26">
      <c r="A7" s="1334" t="s">
        <v>1301</v>
      </c>
      <c r="B7" s="1332"/>
      <c r="C7" s="1560"/>
      <c r="D7" s="1560"/>
      <c r="E7" s="1560"/>
      <c r="F7" s="1560"/>
      <c r="G7" s="1559">
        <f>B49*-0.3</f>
        <v>48000</v>
      </c>
      <c r="H7" s="1334"/>
      <c r="I7" s="1334"/>
      <c r="J7" s="1334"/>
      <c r="K7" s="1334"/>
      <c r="L7" s="1334"/>
      <c r="M7" s="1334"/>
      <c r="N7" s="1334"/>
      <c r="O7" s="1334"/>
      <c r="P7" s="1334"/>
      <c r="Q7" s="1334"/>
      <c r="R7" s="1334"/>
      <c r="S7" s="1334"/>
      <c r="T7" s="1334"/>
      <c r="U7" s="1334"/>
      <c r="V7" s="1334"/>
      <c r="W7" s="1334"/>
      <c r="X7" s="1334"/>
      <c r="Y7" s="1334"/>
      <c r="Z7" s="1334"/>
    </row>
    <row r="8" spans="1:26">
      <c r="A8" s="1325" t="s">
        <v>1302</v>
      </c>
      <c r="C8" s="1562"/>
      <c r="D8" s="1562"/>
      <c r="E8" s="1562"/>
      <c r="F8" s="1562"/>
      <c r="G8" s="1559">
        <f>B50*-0.6</f>
        <v>2640000</v>
      </c>
      <c r="H8" s="1334"/>
      <c r="I8" s="1334"/>
      <c r="J8" s="1334"/>
      <c r="K8" s="1334" t="s">
        <v>1303</v>
      </c>
      <c r="L8" s="1334"/>
      <c r="M8" s="1334"/>
      <c r="N8" s="1334"/>
      <c r="O8" s="1334"/>
      <c r="P8" s="1334"/>
      <c r="Q8" s="1334"/>
      <c r="R8" s="1334"/>
      <c r="S8" s="1334"/>
      <c r="T8" s="1334"/>
      <c r="U8" s="1334"/>
      <c r="V8" s="1334"/>
      <c r="W8" s="1334"/>
      <c r="X8" s="1334"/>
      <c r="Y8" s="1334"/>
      <c r="Z8" s="1334"/>
    </row>
    <row r="9" spans="1:26">
      <c r="A9" s="1325" t="s">
        <v>1304</v>
      </c>
      <c r="C9" s="1562"/>
      <c r="D9" s="1562"/>
      <c r="E9" s="1562"/>
      <c r="F9" s="1562"/>
      <c r="G9" s="1559">
        <f>B51*-0.6</f>
        <v>360000</v>
      </c>
      <c r="H9" s="1334"/>
      <c r="I9" s="1334"/>
      <c r="J9" s="1334"/>
      <c r="K9" s="1334">
        <v>2000</v>
      </c>
      <c r="L9" s="1334">
        <f>K10*1.05</f>
        <v>660.19775522146108</v>
      </c>
      <c r="M9" s="1334">
        <f>L9*1.05</f>
        <v>693.20764298253414</v>
      </c>
      <c r="N9" s="1334">
        <f>M9*1.05</f>
        <v>727.86802513166083</v>
      </c>
      <c r="O9" s="1334">
        <f>N9*1.05</f>
        <v>764.26142638824388</v>
      </c>
      <c r="P9" s="1334"/>
      <c r="Q9" s="1334"/>
      <c r="R9" s="1334"/>
      <c r="S9" s="1334"/>
      <c r="T9" s="1334"/>
      <c r="U9" s="1334"/>
      <c r="V9" s="1334"/>
      <c r="W9" s="1334"/>
      <c r="X9" s="1334"/>
      <c r="Y9" s="1334"/>
      <c r="Z9" s="1334"/>
    </row>
    <row r="10" spans="1:26" ht="21">
      <c r="A10" s="1325" t="s">
        <v>1305</v>
      </c>
      <c r="C10" s="1562"/>
      <c r="D10" s="1562"/>
      <c r="E10" s="1562"/>
      <c r="F10" s="1562"/>
      <c r="G10" s="1559">
        <f>B52*-0.1</f>
        <v>180000</v>
      </c>
      <c r="H10" s="1334"/>
      <c r="I10" s="1334"/>
      <c r="J10" s="1334"/>
      <c r="K10" s="1567">
        <v>628.75976687758191</v>
      </c>
      <c r="L10" s="1334"/>
      <c r="M10" s="1334"/>
      <c r="N10" s="1334"/>
      <c r="O10" s="1334"/>
      <c r="P10" s="1334"/>
      <c r="Q10" s="1334"/>
      <c r="R10" s="1334"/>
      <c r="S10" s="1334"/>
      <c r="T10" s="1334"/>
      <c r="U10" s="1334"/>
      <c r="V10" s="1334"/>
      <c r="W10" s="1334"/>
      <c r="X10" s="1334"/>
      <c r="Y10" s="1334"/>
      <c r="Z10" s="1334"/>
    </row>
    <row r="11" spans="1:26">
      <c r="A11" s="1325" t="s">
        <v>1306</v>
      </c>
      <c r="C11" s="1562"/>
      <c r="D11" s="1562"/>
      <c r="E11" s="1562"/>
      <c r="F11" s="1562"/>
      <c r="G11" s="1559">
        <f>E53*-0.6</f>
        <v>600000</v>
      </c>
      <c r="H11" s="1334"/>
      <c r="I11" s="1334"/>
      <c r="J11" s="1334"/>
      <c r="K11" s="1334"/>
      <c r="L11" s="1334"/>
      <c r="M11" s="1334"/>
      <c r="N11" s="1334"/>
      <c r="O11" s="1334"/>
      <c r="P11" s="1334"/>
      <c r="Q11" s="1334"/>
      <c r="R11" s="1334"/>
      <c r="S11" s="1334"/>
      <c r="T11" s="1334"/>
      <c r="U11" s="1334"/>
      <c r="V11" s="1334"/>
      <c r="W11" s="1334"/>
      <c r="X11" s="1334"/>
      <c r="Y11" s="1334"/>
      <c r="Z11" s="1334"/>
    </row>
    <row r="12" spans="1:26">
      <c r="A12" s="1325" t="s">
        <v>1307</v>
      </c>
      <c r="C12" s="1562"/>
      <c r="D12" s="1562"/>
      <c r="E12" s="1562"/>
      <c r="F12" s="1562"/>
      <c r="G12" s="1559">
        <f>E54*-0.6</f>
        <v>72000</v>
      </c>
      <c r="H12" s="1334"/>
      <c r="I12" s="1334"/>
      <c r="J12" s="1334"/>
      <c r="K12" s="1334"/>
      <c r="L12" s="1334"/>
      <c r="M12" s="1334"/>
      <c r="N12" s="1334"/>
      <c r="O12" s="1334"/>
      <c r="P12" s="1334"/>
      <c r="Q12" s="1334"/>
      <c r="R12" s="1334"/>
      <c r="S12" s="1334"/>
      <c r="T12" s="1334"/>
      <c r="U12" s="1334"/>
      <c r="V12" s="1334"/>
      <c r="W12" s="1334"/>
      <c r="X12" s="1334"/>
      <c r="Y12" s="1334"/>
      <c r="Z12" s="1334"/>
    </row>
    <row r="13" spans="1:26">
      <c r="C13" s="1562"/>
      <c r="D13" s="1562"/>
      <c r="E13" s="1562"/>
      <c r="F13" s="1562"/>
      <c r="G13" s="1559"/>
      <c r="H13" s="1334"/>
      <c r="I13" s="1334"/>
      <c r="J13" s="1334"/>
      <c r="K13" s="1334"/>
      <c r="L13" s="1334"/>
      <c r="M13" s="1334"/>
      <c r="N13" s="1334"/>
      <c r="O13" s="1334"/>
      <c r="P13" s="1334"/>
      <c r="Q13" s="1334"/>
      <c r="R13" s="1334"/>
      <c r="S13" s="1334"/>
      <c r="T13" s="1334"/>
      <c r="U13" s="1334"/>
      <c r="V13" s="1334"/>
      <c r="W13" s="1334"/>
      <c r="X13" s="1334"/>
      <c r="Y13" s="1334"/>
      <c r="Z13" s="1334"/>
    </row>
    <row r="14" spans="1:26">
      <c r="A14" s="1329" t="s">
        <v>1308</v>
      </c>
      <c r="B14" s="1336"/>
      <c r="C14" s="1336"/>
      <c r="D14" s="1336"/>
      <c r="E14" s="1336"/>
      <c r="F14" s="1336"/>
      <c r="G14" s="1336"/>
    </row>
    <row r="15" spans="1:26">
      <c r="A15" s="1337" t="s">
        <v>1309</v>
      </c>
      <c r="B15" s="1332"/>
      <c r="C15" s="1560">
        <f>-200000*0.4</f>
        <v>-80000</v>
      </c>
      <c r="D15" s="1560">
        <f>-200000*0.4</f>
        <v>-80000</v>
      </c>
      <c r="E15" s="1560">
        <f>-200000*0.4</f>
        <v>-80000</v>
      </c>
      <c r="F15" s="1560">
        <f>-200000*0.4</f>
        <v>-80000</v>
      </c>
      <c r="G15" s="1560">
        <f>-200000*0.4</f>
        <v>-80000</v>
      </c>
    </row>
    <row r="16" spans="1:26">
      <c r="A16" s="1337" t="s">
        <v>1310</v>
      </c>
      <c r="B16" s="1332"/>
      <c r="C16" s="1559">
        <f>-200*C2-120*C2</f>
        <v>-1120000</v>
      </c>
      <c r="D16" s="1559">
        <f>-200*D2-120*D2</f>
        <v>-1280000</v>
      </c>
      <c r="E16" s="1559">
        <f>-200*E2-120*E2</f>
        <v>-1440000</v>
      </c>
      <c r="F16" s="1559">
        <f>-200*F2-120*F2</f>
        <v>-1792000.0000000005</v>
      </c>
      <c r="G16" s="1559">
        <f>-200*G2-120*G2</f>
        <v>-1792000.0000000005</v>
      </c>
      <c r="H16" s="1334" t="s">
        <v>1311</v>
      </c>
      <c r="I16" s="1334"/>
      <c r="J16" s="1334"/>
      <c r="K16" s="1334"/>
      <c r="L16" s="1334"/>
      <c r="M16" s="1334"/>
      <c r="N16" s="1334"/>
      <c r="O16" s="1334"/>
      <c r="P16" s="1334"/>
      <c r="Q16" s="1334"/>
      <c r="R16" s="1334"/>
      <c r="S16" s="1334"/>
      <c r="T16" s="1334"/>
      <c r="U16" s="1334"/>
      <c r="V16" s="1334"/>
      <c r="W16" s="1334"/>
      <c r="X16" s="1334"/>
      <c r="Y16" s="1334"/>
      <c r="Z16" s="1334"/>
    </row>
    <row r="17" spans="1:26">
      <c r="A17" s="1334" t="s">
        <v>1312</v>
      </c>
      <c r="B17" s="1332"/>
      <c r="C17" s="1560">
        <f>-250000*0.3</f>
        <v>-75000</v>
      </c>
      <c r="D17" s="1560">
        <f>-250000*0.3</f>
        <v>-75000</v>
      </c>
      <c r="E17" s="1560">
        <f>-250000*0.3</f>
        <v>-75000</v>
      </c>
      <c r="F17" s="1560">
        <f>-250000*0.3</f>
        <v>-75000</v>
      </c>
      <c r="G17" s="1560">
        <f>-250000*0.3</f>
        <v>-75000</v>
      </c>
      <c r="H17" s="1334"/>
      <c r="I17" s="1334"/>
      <c r="J17" s="1334"/>
      <c r="K17" s="1334"/>
      <c r="L17" s="1334"/>
      <c r="M17" s="1334"/>
      <c r="N17" s="1334"/>
      <c r="O17" s="1334"/>
      <c r="P17" s="1334"/>
      <c r="Q17" s="1334"/>
      <c r="R17" s="1334"/>
      <c r="S17" s="1334"/>
      <c r="T17" s="1334"/>
      <c r="U17" s="1334"/>
      <c r="V17" s="1334"/>
      <c r="W17" s="1334"/>
      <c r="X17" s="1334"/>
      <c r="Y17" s="1334"/>
      <c r="Z17" s="1334"/>
    </row>
    <row r="18" spans="1:26">
      <c r="A18" s="1334" t="s">
        <v>1313</v>
      </c>
      <c r="B18" s="1332"/>
      <c r="C18" s="1559">
        <f>-3000*12</f>
        <v>-36000</v>
      </c>
      <c r="D18" s="1559">
        <f>-3000*12</f>
        <v>-36000</v>
      </c>
      <c r="E18" s="1559">
        <f>-3000*12</f>
        <v>-36000</v>
      </c>
      <c r="F18" s="1559">
        <f>-3000*12</f>
        <v>-36000</v>
      </c>
      <c r="G18" s="1559">
        <f>-3000*12</f>
        <v>-36000</v>
      </c>
      <c r="H18" s="1334"/>
      <c r="I18" s="1334"/>
      <c r="J18" s="1334"/>
      <c r="K18" s="1334"/>
      <c r="L18" s="1334"/>
      <c r="M18" s="1334"/>
      <c r="N18" s="1334"/>
      <c r="O18" s="1334"/>
      <c r="P18" s="1334"/>
      <c r="Q18" s="1334"/>
      <c r="R18" s="1334"/>
      <c r="S18" s="1334"/>
      <c r="T18" s="1334"/>
      <c r="U18" s="1334"/>
      <c r="V18" s="1334"/>
      <c r="W18" s="1334"/>
      <c r="X18" s="1334"/>
      <c r="Y18" s="1334"/>
      <c r="Z18" s="1334"/>
    </row>
    <row r="19" spans="1:26">
      <c r="A19" s="1334" t="s">
        <v>1314</v>
      </c>
      <c r="B19" s="1332"/>
      <c r="C19" s="1559">
        <v>-5975.15</v>
      </c>
      <c r="D19" s="1559">
        <v>-4481</v>
      </c>
      <c r="E19" s="1559">
        <v>-2987</v>
      </c>
      <c r="F19" s="1559">
        <v>-1493</v>
      </c>
      <c r="G19" s="1559"/>
      <c r="H19" s="1566" t="s">
        <v>1486</v>
      </c>
      <c r="I19" s="1566"/>
      <c r="J19" s="1566"/>
      <c r="K19" s="1566"/>
      <c r="L19" s="1334"/>
      <c r="M19" s="1334"/>
      <c r="N19" s="1334"/>
      <c r="O19" s="1334"/>
      <c r="P19" s="1334"/>
      <c r="Q19" s="1334"/>
      <c r="R19" s="1334"/>
      <c r="S19" s="1334"/>
      <c r="T19" s="1334"/>
      <c r="U19" s="1334"/>
      <c r="V19" s="1334"/>
      <c r="W19" s="1334"/>
      <c r="X19" s="1334"/>
      <c r="Y19" s="1334"/>
      <c r="Z19" s="1334"/>
    </row>
    <row r="20" spans="1:26">
      <c r="A20" s="1325"/>
      <c r="B20" s="1332"/>
      <c r="C20" s="1561"/>
      <c r="D20" s="1561"/>
      <c r="E20" s="1561"/>
      <c r="F20" s="1561"/>
      <c r="G20" s="1561"/>
      <c r="H20" s="1334"/>
      <c r="I20" s="1334"/>
      <c r="J20" s="1334"/>
      <c r="K20" s="1334"/>
      <c r="L20" s="1334"/>
      <c r="M20" s="1334"/>
      <c r="N20" s="1334"/>
      <c r="O20" s="1334"/>
      <c r="P20" s="1334"/>
      <c r="Q20" s="1334"/>
      <c r="R20" s="1334"/>
      <c r="S20" s="1334"/>
      <c r="T20" s="1334"/>
      <c r="U20" s="1334"/>
      <c r="V20" s="1334"/>
      <c r="W20" s="1334"/>
      <c r="X20" s="1334"/>
      <c r="Y20" s="1334"/>
      <c r="Z20" s="1334"/>
    </row>
    <row r="21" spans="1:26">
      <c r="A21" s="1325"/>
      <c r="B21" s="1332"/>
      <c r="C21" s="1561"/>
      <c r="D21" s="1561"/>
      <c r="E21" s="1561"/>
      <c r="F21" s="1561"/>
      <c r="G21" s="1561"/>
      <c r="H21" s="1334"/>
      <c r="I21" s="1334"/>
      <c r="J21" s="1334"/>
      <c r="K21" s="1334"/>
      <c r="L21" s="1334"/>
      <c r="M21" s="1334"/>
      <c r="N21" s="1334"/>
      <c r="O21" s="1334"/>
      <c r="P21" s="1334"/>
      <c r="Q21" s="1334"/>
      <c r="R21" s="1334"/>
      <c r="S21" s="1334"/>
      <c r="T21" s="1334"/>
      <c r="U21" s="1334"/>
      <c r="V21" s="1334"/>
      <c r="W21" s="1334"/>
      <c r="X21" s="1334"/>
      <c r="Y21" s="1334"/>
      <c r="Z21" s="1334"/>
    </row>
    <row r="22" spans="1:26">
      <c r="A22" s="1325"/>
      <c r="B22" s="1332"/>
      <c r="C22" s="1561"/>
      <c r="D22" s="1561"/>
      <c r="E22" s="1561"/>
      <c r="F22" s="1561"/>
      <c r="G22" s="1561"/>
      <c r="H22" s="1334"/>
      <c r="I22" s="1334"/>
      <c r="J22" s="1334"/>
      <c r="K22" s="1334"/>
      <c r="L22" s="1334"/>
      <c r="M22" s="1334"/>
      <c r="N22" s="1334"/>
      <c r="O22" s="1334"/>
      <c r="P22" s="1334"/>
      <c r="Q22" s="1334"/>
      <c r="R22" s="1334"/>
      <c r="S22" s="1334"/>
      <c r="T22" s="1334"/>
      <c r="U22" s="1334"/>
      <c r="V22" s="1334"/>
      <c r="W22" s="1334"/>
      <c r="X22" s="1334"/>
      <c r="Y22" s="1334"/>
      <c r="Z22" s="1334"/>
    </row>
    <row r="23" spans="1:26">
      <c r="A23" s="1325"/>
      <c r="B23" s="1332"/>
      <c r="C23" s="1561"/>
      <c r="D23" s="1561"/>
      <c r="E23" s="1561"/>
      <c r="F23" s="1561"/>
      <c r="G23" s="1561"/>
      <c r="H23" s="1334"/>
      <c r="I23" s="1334"/>
      <c r="J23" s="1334"/>
      <c r="K23" s="1334"/>
      <c r="L23" s="1334"/>
      <c r="M23" s="1334"/>
      <c r="N23" s="1334"/>
      <c r="O23" s="1334"/>
      <c r="P23" s="1334"/>
      <c r="Q23" s="1334"/>
      <c r="R23" s="1334"/>
      <c r="S23" s="1334"/>
      <c r="T23" s="1334"/>
      <c r="U23" s="1334"/>
      <c r="V23" s="1334"/>
      <c r="W23" s="1334"/>
      <c r="X23" s="1334"/>
      <c r="Y23" s="1334"/>
      <c r="Z23" s="1334"/>
    </row>
    <row r="24" spans="1:26">
      <c r="A24" s="1325"/>
      <c r="B24" s="1332"/>
      <c r="C24" s="1561"/>
      <c r="D24" s="1561"/>
      <c r="E24" s="1561"/>
      <c r="F24" s="1561"/>
      <c r="G24" s="1561"/>
      <c r="H24" s="1334"/>
      <c r="I24" s="1334"/>
      <c r="J24" s="1334"/>
      <c r="K24" s="1334"/>
      <c r="L24" s="1334"/>
      <c r="M24" s="1334"/>
      <c r="N24" s="1334"/>
      <c r="O24" s="1334"/>
      <c r="P24" s="1334"/>
      <c r="Q24" s="1334"/>
      <c r="R24" s="1334"/>
      <c r="S24" s="1334"/>
      <c r="T24" s="1334"/>
      <c r="U24" s="1334"/>
      <c r="V24" s="1334"/>
      <c r="W24" s="1334"/>
      <c r="X24" s="1334"/>
      <c r="Y24" s="1334"/>
      <c r="Z24" s="1334"/>
    </row>
    <row r="25" spans="1:26">
      <c r="A25" s="1325"/>
      <c r="B25" s="1332"/>
      <c r="C25" s="1561"/>
      <c r="D25" s="1561"/>
      <c r="E25" s="1561"/>
      <c r="F25" s="1561"/>
      <c r="G25" s="1561"/>
      <c r="H25" s="1334"/>
      <c r="I25" s="1334"/>
      <c r="J25" s="1334"/>
      <c r="K25" s="1334"/>
      <c r="L25" s="1334"/>
      <c r="M25" s="1334"/>
      <c r="N25" s="1334"/>
      <c r="O25" s="1334"/>
      <c r="P25" s="1334"/>
      <c r="Q25" s="1334"/>
      <c r="R25" s="1334"/>
      <c r="S25" s="1334"/>
      <c r="T25" s="1334"/>
      <c r="U25" s="1334"/>
      <c r="V25" s="1334"/>
      <c r="W25" s="1334"/>
      <c r="X25" s="1334"/>
      <c r="Y25" s="1334"/>
      <c r="Z25" s="1334"/>
    </row>
    <row r="26" spans="1:26">
      <c r="A26" s="1325"/>
      <c r="B26" s="1332"/>
      <c r="C26" s="1561"/>
      <c r="D26" s="1561"/>
      <c r="E26" s="1561"/>
      <c r="F26" s="1561"/>
      <c r="G26" s="1561"/>
      <c r="H26" s="1334"/>
      <c r="I26" s="1334"/>
      <c r="J26" s="1334"/>
      <c r="K26" s="1334"/>
      <c r="L26" s="1334"/>
      <c r="M26" s="1334"/>
      <c r="N26" s="1334"/>
      <c r="O26" s="1334"/>
      <c r="P26" s="1334"/>
      <c r="Q26" s="1334"/>
      <c r="R26" s="1334"/>
      <c r="S26" s="1334"/>
      <c r="T26" s="1334"/>
      <c r="U26" s="1334"/>
      <c r="V26" s="1334"/>
      <c r="W26" s="1334"/>
      <c r="X26" s="1334"/>
      <c r="Y26" s="1334"/>
      <c r="Z26" s="1334"/>
    </row>
    <row r="27" spans="1:26">
      <c r="A27" s="1325"/>
      <c r="B27" s="1332"/>
      <c r="C27" s="1561"/>
      <c r="D27" s="1561"/>
      <c r="E27" s="1561"/>
      <c r="F27" s="1561"/>
      <c r="G27" s="1561"/>
      <c r="H27" s="1334"/>
      <c r="I27" s="1334"/>
      <c r="J27" s="1334"/>
      <c r="K27" s="1334"/>
      <c r="L27" s="1334"/>
      <c r="M27" s="1334"/>
      <c r="N27" s="1334"/>
      <c r="O27" s="1334"/>
      <c r="P27" s="1334"/>
      <c r="Q27" s="1334"/>
      <c r="R27" s="1334"/>
      <c r="S27" s="1334"/>
      <c r="T27" s="1334"/>
      <c r="U27" s="1334"/>
      <c r="V27" s="1334"/>
      <c r="W27" s="1334"/>
      <c r="X27" s="1334"/>
      <c r="Y27" s="1334"/>
      <c r="Z27" s="1334"/>
    </row>
    <row r="28" spans="1:26">
      <c r="A28" s="1325"/>
      <c r="B28" s="1332"/>
      <c r="C28" s="1561"/>
      <c r="D28" s="1561"/>
      <c r="E28" s="1561"/>
      <c r="F28" s="1561"/>
      <c r="G28" s="1561"/>
      <c r="H28" s="1334"/>
      <c r="I28" s="1334"/>
      <c r="J28" s="1334"/>
      <c r="K28" s="1334"/>
      <c r="L28" s="1334"/>
      <c r="M28" s="1334"/>
      <c r="N28" s="1334"/>
      <c r="O28" s="1334"/>
      <c r="P28" s="1334"/>
      <c r="Q28" s="1334"/>
      <c r="R28" s="1334"/>
      <c r="S28" s="1334"/>
      <c r="T28" s="1334"/>
      <c r="U28" s="1334"/>
      <c r="V28" s="1334"/>
      <c r="W28" s="1334"/>
      <c r="X28" s="1334"/>
      <c r="Y28" s="1334"/>
      <c r="Z28" s="1334"/>
    </row>
    <row r="29" spans="1:26">
      <c r="A29" s="1329" t="s">
        <v>1315</v>
      </c>
      <c r="B29" s="1339"/>
      <c r="C29" s="1339"/>
      <c r="D29" s="1339"/>
      <c r="E29" s="1339"/>
      <c r="F29" s="1339"/>
      <c r="G29" s="1339"/>
    </row>
    <row r="30" spans="1:26">
      <c r="A30" s="1337" t="s">
        <v>1316</v>
      </c>
      <c r="B30" s="1559"/>
      <c r="C30" s="1559">
        <f>$B$49/5</f>
        <v>-32000</v>
      </c>
      <c r="D30" s="1559">
        <f>$B$49/5</f>
        <v>-32000</v>
      </c>
      <c r="E30" s="1559">
        <f>$B$49/5</f>
        <v>-32000</v>
      </c>
      <c r="F30" s="1559">
        <f>$B$49/5</f>
        <v>-32000</v>
      </c>
      <c r="G30" s="1559">
        <f>$B$49/5</f>
        <v>-32000</v>
      </c>
    </row>
    <row r="31" spans="1:26">
      <c r="A31" s="1337" t="s">
        <v>1317</v>
      </c>
      <c r="B31" s="1559"/>
      <c r="C31" s="1559">
        <f>$B$50/5</f>
        <v>-880000</v>
      </c>
      <c r="D31" s="1559">
        <f>$B$50/5</f>
        <v>-880000</v>
      </c>
      <c r="E31" s="1559">
        <f>$B$50/5</f>
        <v>-880000</v>
      </c>
      <c r="F31" s="1559">
        <f>$B$50/5</f>
        <v>-880000</v>
      </c>
      <c r="G31" s="1559">
        <f>$B$50/5</f>
        <v>-880000</v>
      </c>
      <c r="H31" s="1334"/>
      <c r="I31" s="1334"/>
      <c r="J31" s="1334"/>
      <c r="K31" s="1334"/>
      <c r="L31" s="1334"/>
      <c r="M31" s="1334"/>
      <c r="N31" s="1334"/>
      <c r="O31" s="1334"/>
      <c r="P31" s="1334"/>
      <c r="Q31" s="1334"/>
      <c r="R31" s="1334"/>
      <c r="S31" s="1334"/>
      <c r="T31" s="1334"/>
      <c r="U31" s="1334"/>
      <c r="V31" s="1334"/>
      <c r="W31" s="1334"/>
      <c r="X31" s="1334"/>
      <c r="Y31" s="1334"/>
      <c r="Z31" s="1334"/>
    </row>
    <row r="32" spans="1:26">
      <c r="A32" s="1334" t="s">
        <v>1318</v>
      </c>
      <c r="B32" s="1559"/>
      <c r="C32" s="1559">
        <f>$B$51/5</f>
        <v>-120000</v>
      </c>
      <c r="D32" s="1559">
        <f>$B$51/5</f>
        <v>-120000</v>
      </c>
      <c r="E32" s="1559">
        <f>$B$51/5</f>
        <v>-120000</v>
      </c>
      <c r="F32" s="1559">
        <f>$B$51/5</f>
        <v>-120000</v>
      </c>
      <c r="G32" s="1559">
        <f>$B$51/5</f>
        <v>-120000</v>
      </c>
      <c r="H32" s="1334"/>
      <c r="I32" s="1334"/>
      <c r="J32" s="1334"/>
      <c r="K32" s="1334"/>
      <c r="L32" s="1334"/>
      <c r="M32" s="1334"/>
      <c r="N32" s="1334"/>
      <c r="O32" s="1334"/>
      <c r="P32" s="1334"/>
      <c r="Q32" s="1334"/>
      <c r="R32" s="1334"/>
      <c r="S32" s="1334"/>
      <c r="T32" s="1334"/>
      <c r="U32" s="1334"/>
      <c r="V32" s="1334"/>
      <c r="W32" s="1334"/>
      <c r="X32" s="1334"/>
      <c r="Y32" s="1334"/>
      <c r="Z32" s="1334"/>
    </row>
    <row r="33" spans="1:26">
      <c r="A33" s="1334" t="s">
        <v>1319</v>
      </c>
      <c r="B33" s="1559"/>
      <c r="C33" s="1559">
        <f>$B$52/5</f>
        <v>-360000</v>
      </c>
      <c r="D33" s="1559">
        <f>$B$52/5</f>
        <v>-360000</v>
      </c>
      <c r="E33" s="1559">
        <f>$B$52/5</f>
        <v>-360000</v>
      </c>
      <c r="F33" s="1559">
        <f>$B$52/5</f>
        <v>-360000</v>
      </c>
      <c r="G33" s="1559">
        <f>$B$52/5</f>
        <v>-360000</v>
      </c>
      <c r="H33" s="1334"/>
      <c r="I33" s="1334"/>
      <c r="J33" s="1334"/>
      <c r="K33" s="1334"/>
      <c r="L33" s="1334"/>
      <c r="M33" s="1334"/>
      <c r="N33" s="1334"/>
      <c r="O33" s="1334"/>
      <c r="P33" s="1334"/>
      <c r="Q33" s="1334"/>
      <c r="R33" s="1334"/>
      <c r="S33" s="1334"/>
      <c r="T33" s="1334"/>
      <c r="U33" s="1334"/>
      <c r="V33" s="1334"/>
      <c r="W33" s="1334"/>
      <c r="X33" s="1334"/>
      <c r="Y33" s="1334"/>
      <c r="Z33" s="1334"/>
    </row>
    <row r="34" spans="1:26">
      <c r="A34" s="1334" t="s">
        <v>1320</v>
      </c>
      <c r="B34" s="1559"/>
      <c r="C34" s="1559"/>
      <c r="D34" s="1559"/>
      <c r="E34" s="1559"/>
      <c r="F34" s="1559">
        <f>$E$53/5</f>
        <v>-200000</v>
      </c>
      <c r="G34" s="1559">
        <f>$E$53/5</f>
        <v>-200000</v>
      </c>
      <c r="H34" s="1334"/>
      <c r="I34" s="1334"/>
      <c r="J34" s="1334"/>
      <c r="K34" s="1334"/>
      <c r="L34" s="1334"/>
      <c r="M34" s="1334"/>
      <c r="N34" s="1334"/>
      <c r="O34" s="1334"/>
      <c r="P34" s="1334"/>
      <c r="Q34" s="1334"/>
      <c r="R34" s="1334"/>
      <c r="S34" s="1334"/>
      <c r="T34" s="1334"/>
      <c r="U34" s="1334"/>
      <c r="V34" s="1334"/>
      <c r="W34" s="1334"/>
      <c r="X34" s="1334"/>
      <c r="Y34" s="1334"/>
      <c r="Z34" s="1334"/>
    </row>
    <row r="35" spans="1:26">
      <c r="A35" s="1334" t="s">
        <v>1321</v>
      </c>
      <c r="B35" s="1559"/>
      <c r="C35" s="1559"/>
      <c r="D35" s="1559"/>
      <c r="E35" s="1559"/>
      <c r="F35" s="1559">
        <f>$E$54/5</f>
        <v>-24000</v>
      </c>
      <c r="G35" s="1559">
        <f>$E$54/5</f>
        <v>-24000</v>
      </c>
      <c r="H35" s="1334"/>
      <c r="I35" s="1334"/>
      <c r="J35" s="1334"/>
      <c r="K35" s="1334"/>
      <c r="L35" s="1334"/>
      <c r="M35" s="1334"/>
      <c r="N35" s="1334"/>
      <c r="O35" s="1334"/>
      <c r="P35" s="1334"/>
      <c r="Q35" s="1334"/>
      <c r="R35" s="1334"/>
      <c r="S35" s="1334"/>
      <c r="T35" s="1334"/>
      <c r="U35" s="1334"/>
      <c r="V35" s="1334"/>
      <c r="W35" s="1334"/>
      <c r="X35" s="1334"/>
      <c r="Y35" s="1334"/>
      <c r="Z35" s="1334"/>
    </row>
    <row r="36" spans="1:26">
      <c r="A36" s="1334" t="s">
        <v>1322</v>
      </c>
      <c r="B36" s="1559"/>
      <c r="C36" s="1559"/>
      <c r="D36" s="1559"/>
      <c r="E36" s="1559"/>
      <c r="F36" s="1559"/>
      <c r="G36" s="1559">
        <f>F34*3</f>
        <v>-600000</v>
      </c>
      <c r="H36" s="1334"/>
      <c r="I36" s="1334"/>
      <c r="J36" s="1334"/>
      <c r="K36" s="1334"/>
      <c r="L36" s="1334"/>
      <c r="M36" s="1334"/>
      <c r="N36" s="1334"/>
      <c r="O36" s="1334"/>
      <c r="P36" s="1334"/>
      <c r="Q36" s="1334"/>
      <c r="R36" s="1334"/>
      <c r="S36" s="1334"/>
      <c r="T36" s="1334"/>
      <c r="U36" s="1334"/>
      <c r="V36" s="1334"/>
      <c r="W36" s="1334"/>
      <c r="X36" s="1334"/>
      <c r="Y36" s="1334"/>
      <c r="Z36" s="1334"/>
    </row>
    <row r="37" spans="1:26" ht="15.75" thickBot="1">
      <c r="A37" s="1334" t="s">
        <v>1323</v>
      </c>
      <c r="B37" s="1559"/>
      <c r="C37" s="1559"/>
      <c r="D37" s="1559"/>
      <c r="E37" s="1559"/>
      <c r="F37" s="1559"/>
      <c r="G37" s="1559">
        <f>F35*3</f>
        <v>-72000</v>
      </c>
      <c r="H37" s="1334"/>
      <c r="I37" s="1334"/>
      <c r="J37" s="1334"/>
      <c r="K37" s="1334"/>
      <c r="L37" s="1334"/>
      <c r="M37" s="1334"/>
      <c r="N37" s="1334"/>
      <c r="O37" s="1334"/>
      <c r="P37" s="1334"/>
      <c r="Q37" s="1334"/>
      <c r="R37" s="1334"/>
      <c r="S37" s="1334"/>
      <c r="T37" s="1334"/>
      <c r="U37" s="1334"/>
      <c r="V37" s="1334"/>
      <c r="W37" s="1334"/>
      <c r="X37" s="1334"/>
      <c r="Y37" s="1334"/>
      <c r="Z37" s="1334"/>
    </row>
    <row r="38" spans="1:26" ht="18.75" customHeight="1" thickTop="1" thickBot="1">
      <c r="A38" s="1340" t="s">
        <v>1324</v>
      </c>
      <c r="B38" s="1341"/>
      <c r="C38" s="1342">
        <f>SUM(C6:C37)</f>
        <v>-508315.96592846338</v>
      </c>
      <c r="D38" s="1342">
        <f>SUM(D6:D37)</f>
        <v>-226689.97911415575</v>
      </c>
      <c r="E38" s="1342">
        <f>SUM(E6:E37)</f>
        <v>93447.393421403598</v>
      </c>
      <c r="F38" s="1342">
        <f>SUM(F6:F37)</f>
        <v>475567.94073730102</v>
      </c>
      <c r="G38" s="1343">
        <f>SUM(G6:G37)</f>
        <v>3908863.9877741653</v>
      </c>
      <c r="H38" s="1344"/>
      <c r="I38" s="1344"/>
      <c r="J38" s="1344"/>
      <c r="K38" s="1344"/>
      <c r="L38" s="1344"/>
      <c r="M38" s="1344"/>
      <c r="N38" s="1344"/>
      <c r="O38" s="1344"/>
      <c r="P38" s="1344"/>
      <c r="Q38" s="1344"/>
      <c r="R38" s="1344"/>
      <c r="S38" s="1344"/>
      <c r="T38" s="1344"/>
      <c r="U38" s="1344"/>
      <c r="V38" s="1344"/>
      <c r="W38" s="1344"/>
      <c r="X38" s="1344"/>
      <c r="Y38" s="1344"/>
      <c r="Z38" s="1344"/>
    </row>
    <row r="39" spans="1:26" ht="8.25" customHeight="1" thickTop="1">
      <c r="A39" s="1334"/>
      <c r="B39" s="1332"/>
      <c r="C39" s="1332"/>
      <c r="D39" s="1332"/>
      <c r="E39" s="1332"/>
      <c r="F39" s="1332"/>
      <c r="G39" s="1332"/>
      <c r="H39" s="1334"/>
      <c r="I39" s="1334"/>
      <c r="J39" s="1334"/>
      <c r="K39" s="1334"/>
      <c r="L39" s="1334"/>
      <c r="M39" s="1334"/>
      <c r="N39" s="1334"/>
      <c r="O39" s="1334"/>
      <c r="P39" s="1334"/>
      <c r="Q39" s="1334"/>
      <c r="R39" s="1334"/>
      <c r="S39" s="1334"/>
      <c r="T39" s="1334"/>
      <c r="U39" s="1334"/>
      <c r="V39" s="1334"/>
      <c r="W39" s="1334"/>
      <c r="X39" s="1334"/>
      <c r="Y39" s="1334"/>
      <c r="Z39" s="1334"/>
    </row>
    <row r="40" spans="1:26">
      <c r="A40" s="1345" t="s">
        <v>1325</v>
      </c>
      <c r="B40" s="1346">
        <v>0.2</v>
      </c>
      <c r="C40" s="1332">
        <f>C38*B40</f>
        <v>-101663.19318569268</v>
      </c>
      <c r="D40" s="1332">
        <f>D38*B40</f>
        <v>-45337.995822831152</v>
      </c>
      <c r="E40" s="1332">
        <f>E38*B40</f>
        <v>18689.478684280719</v>
      </c>
      <c r="F40" s="1332">
        <f>F38*B40</f>
        <v>95113.588147460207</v>
      </c>
      <c r="G40" s="1332">
        <f>G38*B40</f>
        <v>781772.79755483312</v>
      </c>
      <c r="I40" s="1325"/>
      <c r="J40" s="1347"/>
    </row>
    <row r="41" spans="1:26" ht="8.25" customHeight="1" thickBot="1">
      <c r="A41" s="1337"/>
      <c r="B41" s="1332"/>
      <c r="C41" s="1348"/>
      <c r="D41" s="1348"/>
      <c r="E41" s="1348"/>
      <c r="F41" s="1348"/>
      <c r="G41" s="1348"/>
      <c r="J41" s="1347"/>
    </row>
    <row r="42" spans="1:26" ht="17.25" thickTop="1" thickBot="1">
      <c r="A42" s="1340" t="s">
        <v>1326</v>
      </c>
      <c r="B42" s="1349"/>
      <c r="C42" s="1350">
        <f>C38+(-C40)</f>
        <v>-406652.77274277073</v>
      </c>
      <c r="D42" s="1350">
        <f>D38+(-D40)</f>
        <v>-181351.98329132461</v>
      </c>
      <c r="E42" s="1350">
        <f>E38+(-E40)</f>
        <v>74757.914737122876</v>
      </c>
      <c r="F42" s="1350">
        <f>F38+(-F40)</f>
        <v>380454.35258984083</v>
      </c>
      <c r="G42" s="1351">
        <f>G38+(-G40)</f>
        <v>3127091.1902193325</v>
      </c>
      <c r="H42" s="1352"/>
      <c r="I42" s="1352"/>
      <c r="J42" s="1352"/>
      <c r="K42" s="1352"/>
      <c r="L42" s="1352"/>
      <c r="M42" s="1352"/>
      <c r="N42" s="1352"/>
      <c r="O42" s="1352"/>
      <c r="P42" s="1352"/>
      <c r="Q42" s="1352"/>
      <c r="R42" s="1352"/>
      <c r="S42" s="1352"/>
      <c r="T42" s="1352"/>
      <c r="U42" s="1352"/>
      <c r="V42" s="1352"/>
      <c r="W42" s="1352"/>
      <c r="X42" s="1352"/>
      <c r="Y42" s="1352"/>
      <c r="Z42" s="1352"/>
    </row>
    <row r="43" spans="1:26" ht="15.75" customHeight="1" thickTop="1">
      <c r="A43" s="1334"/>
      <c r="B43" s="1332"/>
      <c r="C43" s="1332"/>
      <c r="D43" s="1332"/>
      <c r="E43" s="1332"/>
      <c r="F43" s="1332"/>
      <c r="G43" s="1332"/>
    </row>
    <row r="44" spans="1:26" ht="15.75" customHeight="1">
      <c r="A44" s="1353" t="s">
        <v>1327</v>
      </c>
      <c r="B44" s="1354"/>
      <c r="C44" s="1354"/>
      <c r="D44" s="1354"/>
      <c r="E44" s="1354"/>
      <c r="F44" s="1354"/>
      <c r="G44" s="1354"/>
    </row>
    <row r="45" spans="1:26" ht="15.75" customHeight="1">
      <c r="A45" s="1334" t="s">
        <v>135</v>
      </c>
      <c r="B45" s="1332">
        <v>43288</v>
      </c>
      <c r="C45" s="1332"/>
      <c r="D45" s="1332"/>
      <c r="E45" s="1332"/>
      <c r="F45" s="1332"/>
      <c r="G45" s="1332"/>
    </row>
    <row r="46" spans="1:26" ht="15.75" customHeight="1">
      <c r="A46" s="1334" t="s">
        <v>1328</v>
      </c>
      <c r="B46" s="1332"/>
      <c r="C46" s="1332"/>
      <c r="D46" s="1332"/>
      <c r="E46" s="1332"/>
      <c r="F46" s="1332"/>
      <c r="G46" s="1332">
        <f>(B55+C55+D55+E55)*-1</f>
        <v>256266.66666666666</v>
      </c>
    </row>
    <row r="47" spans="1:26" ht="15.75" customHeight="1">
      <c r="A47" s="1334"/>
      <c r="B47" s="1332"/>
      <c r="C47" s="1332"/>
      <c r="D47" s="1332"/>
      <c r="E47" s="1332"/>
      <c r="F47" s="1332"/>
      <c r="G47" s="1332"/>
    </row>
    <row r="48" spans="1:26" ht="15.75" customHeight="1">
      <c r="A48" s="1355" t="s">
        <v>1329</v>
      </c>
      <c r="B48" s="1354"/>
      <c r="C48" s="1354"/>
      <c r="D48" s="1354"/>
      <c r="E48" s="1354"/>
      <c r="F48" s="1354"/>
      <c r="G48" s="1354"/>
    </row>
    <row r="49" spans="1:26" ht="15.75" customHeight="1">
      <c r="A49" s="1325" t="s">
        <v>1330</v>
      </c>
      <c r="B49" s="1333">
        <v>-160000</v>
      </c>
      <c r="C49" s="1333"/>
      <c r="D49" s="1333"/>
      <c r="E49" s="1333"/>
      <c r="F49" s="1333"/>
      <c r="G49" s="1333"/>
    </row>
    <row r="50" spans="1:26" ht="15.75" customHeight="1">
      <c r="A50" s="1325" t="s">
        <v>1331</v>
      </c>
      <c r="B50" s="1333">
        <f>-2200000*2</f>
        <v>-4400000</v>
      </c>
      <c r="C50" s="1333"/>
      <c r="D50" s="1333"/>
      <c r="E50" s="1333"/>
      <c r="F50" s="1333"/>
      <c r="G50" s="1333"/>
    </row>
    <row r="51" spans="1:26" ht="15.75" customHeight="1">
      <c r="A51" s="1331" t="s">
        <v>1332</v>
      </c>
      <c r="B51" s="1333">
        <f>-60000*10</f>
        <v>-600000</v>
      </c>
      <c r="C51" s="1333"/>
      <c r="D51" s="1333"/>
      <c r="E51" s="1333"/>
      <c r="F51" s="1333"/>
      <c r="G51" s="1333"/>
    </row>
    <row r="52" spans="1:26" ht="15.75" customHeight="1">
      <c r="A52" s="1334" t="s">
        <v>1333</v>
      </c>
      <c r="B52" s="1333">
        <v>-1800000</v>
      </c>
      <c r="C52" s="1333"/>
      <c r="D52" s="1333"/>
      <c r="E52" s="1333"/>
      <c r="F52" s="1333"/>
      <c r="G52" s="1333"/>
    </row>
    <row r="53" spans="1:26" ht="15.75" customHeight="1">
      <c r="A53" s="1334" t="s">
        <v>1334</v>
      </c>
      <c r="B53" s="1333"/>
      <c r="C53" s="1333"/>
      <c r="D53" s="1333"/>
      <c r="E53" s="1356">
        <v>-1000000</v>
      </c>
      <c r="F53" s="1333"/>
      <c r="G53" s="1333"/>
    </row>
    <row r="54" spans="1:26" ht="14.25" customHeight="1">
      <c r="A54" s="1334" t="s">
        <v>1335</v>
      </c>
      <c r="B54" s="1333"/>
      <c r="C54" s="1333"/>
      <c r="D54" s="1558"/>
      <c r="E54" s="1558">
        <f>-60000*2</f>
        <v>-120000</v>
      </c>
      <c r="F54" s="1333"/>
      <c r="G54" s="1333"/>
    </row>
    <row r="55" spans="1:26" ht="14.25" customHeight="1">
      <c r="A55" s="1334" t="s">
        <v>236</v>
      </c>
      <c r="B55" s="1333">
        <f>CT!J68</f>
        <v>-160166.66666666669</v>
      </c>
      <c r="C55" s="1333">
        <f>CT!J69</f>
        <v>-22880.952380952374</v>
      </c>
      <c r="D55" s="1333">
        <f>CT!J70</f>
        <v>-22880.952380952382</v>
      </c>
      <c r="E55" s="1333">
        <f>CT!J71</f>
        <v>-50338.095238095237</v>
      </c>
      <c r="F55" s="1333"/>
      <c r="G55" s="1333"/>
      <c r="H55" s="1325" t="s">
        <v>595</v>
      </c>
    </row>
    <row r="56" spans="1:26" ht="14.25" customHeight="1">
      <c r="A56" s="1334" t="s">
        <v>1336</v>
      </c>
      <c r="B56" s="1333">
        <v>-100000</v>
      </c>
      <c r="C56" s="1333"/>
      <c r="D56" s="1333"/>
      <c r="E56" s="1333"/>
      <c r="F56" s="1333"/>
      <c r="G56" s="1333"/>
      <c r="H56" s="1325" t="s">
        <v>1337</v>
      </c>
    </row>
    <row r="57" spans="1:26" ht="14.25" customHeight="1">
      <c r="A57" s="1334" t="s">
        <v>1338</v>
      </c>
      <c r="B57" s="1333"/>
      <c r="C57" s="1333"/>
      <c r="D57" s="1333"/>
      <c r="E57" s="1333"/>
      <c r="F57" s="1333"/>
      <c r="G57" s="1333"/>
      <c r="H57" s="1323" t="s">
        <v>1484</v>
      </c>
    </row>
    <row r="58" spans="1:26" ht="14.25" customHeight="1">
      <c r="A58" s="1334" t="s">
        <v>1339</v>
      </c>
      <c r="B58" s="1333"/>
      <c r="C58" s="1333">
        <v>-10822</v>
      </c>
      <c r="D58" s="1333">
        <v>-10822</v>
      </c>
      <c r="E58" s="1333">
        <v>-10822</v>
      </c>
      <c r="F58" s="1333">
        <v>-10822</v>
      </c>
      <c r="G58" s="1333"/>
      <c r="H58" s="1566" t="s">
        <v>1486</v>
      </c>
      <c r="I58" s="1566"/>
      <c r="J58" s="1566"/>
      <c r="K58" s="1566"/>
    </row>
    <row r="59" spans="1:26" ht="15.75" customHeight="1">
      <c r="A59" s="1353" t="s">
        <v>1340</v>
      </c>
      <c r="B59" s="1354"/>
      <c r="C59" s="1354"/>
      <c r="D59" s="1354"/>
      <c r="E59" s="1354"/>
      <c r="F59" s="1354"/>
      <c r="G59" s="1354"/>
    </row>
    <row r="60" spans="1:26" ht="15.75" customHeight="1">
      <c r="A60" s="1337" t="s">
        <v>1341</v>
      </c>
      <c r="B60" s="1332">
        <f t="shared" ref="B60:G60" si="0">-SUM(B30:B37)</f>
        <v>0</v>
      </c>
      <c r="C60" s="1332">
        <f t="shared" si="0"/>
        <v>1392000</v>
      </c>
      <c r="D60" s="1332">
        <f t="shared" si="0"/>
        <v>1392000</v>
      </c>
      <c r="E60" s="1332">
        <f t="shared" si="0"/>
        <v>1392000</v>
      </c>
      <c r="F60" s="1332">
        <f t="shared" si="0"/>
        <v>1616000</v>
      </c>
      <c r="G60" s="1332">
        <f t="shared" si="0"/>
        <v>2288000</v>
      </c>
    </row>
    <row r="61" spans="1:26" ht="15.75" customHeight="1" thickBot="1">
      <c r="A61" s="1337"/>
      <c r="B61" s="1332"/>
      <c r="C61" s="1332"/>
      <c r="D61" s="1332"/>
      <c r="E61" s="1332"/>
      <c r="F61" s="1332"/>
      <c r="G61" s="1332"/>
      <c r="I61" s="1334"/>
    </row>
    <row r="62" spans="1:26" ht="27" customHeight="1" thickTop="1" thickBot="1">
      <c r="A62" s="1358" t="s">
        <v>1342</v>
      </c>
      <c r="B62" s="1359">
        <f t="shared" ref="B62:G62" si="1">SUM(B42:B61)</f>
        <v>-7176878.666666667</v>
      </c>
      <c r="C62" s="1359">
        <f t="shared" si="1"/>
        <v>951644.27487627696</v>
      </c>
      <c r="D62" s="1359">
        <f t="shared" si="1"/>
        <v>1176945.0643277229</v>
      </c>
      <c r="E62" s="1359">
        <f t="shared" si="1"/>
        <v>285597.81949902768</v>
      </c>
      <c r="F62" s="1359">
        <f t="shared" si="1"/>
        <v>1985632.3525898408</v>
      </c>
      <c r="G62" s="1360">
        <f t="shared" si="1"/>
        <v>5671357.8568859994</v>
      </c>
      <c r="H62" s="1361"/>
      <c r="I62" s="1361"/>
      <c r="J62" s="1361"/>
      <c r="K62" s="1361"/>
      <c r="L62" s="1361"/>
      <c r="M62" s="1361"/>
      <c r="N62" s="1361"/>
      <c r="O62" s="1361"/>
      <c r="P62" s="1361"/>
      <c r="Q62" s="1361"/>
      <c r="R62" s="1361"/>
      <c r="S62" s="1361"/>
      <c r="T62" s="1361"/>
      <c r="U62" s="1361"/>
      <c r="V62" s="1361"/>
      <c r="W62" s="1361"/>
      <c r="X62" s="1361"/>
      <c r="Y62" s="1361"/>
      <c r="Z62" s="1361"/>
    </row>
    <row r="63" spans="1:26" ht="15.75" customHeight="1" thickTop="1">
      <c r="A63" s="1362"/>
      <c r="B63" s="1363" t="s">
        <v>1343</v>
      </c>
      <c r="C63" s="1338">
        <f>C62/((1+B65)^1)</f>
        <v>873068.14208832744</v>
      </c>
      <c r="D63" s="1338">
        <f>D62/((1+B65)^2)</f>
        <v>990611.11381846876</v>
      </c>
      <c r="E63" s="1338">
        <f>E62/((1+B65)^3)</f>
        <v>220533.91815861085</v>
      </c>
      <c r="F63" s="1338">
        <f>F62/((1+B65)^4)</f>
        <v>1406672.0184813405</v>
      </c>
      <c r="G63" s="1338">
        <f>G62/((1+B65)^5)</f>
        <v>3685993.4741199301</v>
      </c>
    </row>
    <row r="64" spans="1:26" ht="15.75" customHeight="1">
      <c r="A64" s="1364" t="s">
        <v>1344</v>
      </c>
      <c r="B64" s="1365">
        <f t="array" ref="B64">NPV(B65,C62:G62)+B62</f>
        <v>1.0244548320770264E-8</v>
      </c>
      <c r="C64" s="1338"/>
      <c r="D64" s="1338"/>
      <c r="E64" s="1338"/>
      <c r="F64" s="1338"/>
      <c r="G64" s="1338"/>
    </row>
    <row r="65" spans="1:6" ht="15.75" customHeight="1">
      <c r="A65" s="1366" t="s">
        <v>1345</v>
      </c>
      <c r="B65" s="1367">
        <v>0.09</v>
      </c>
      <c r="C65" s="1325" t="s">
        <v>1346</v>
      </c>
    </row>
    <row r="66" spans="1:6" ht="15.75" customHeight="1">
      <c r="A66" s="1366" t="s">
        <v>982</v>
      </c>
      <c r="B66" s="1367">
        <f>IRR(B62:G62)</f>
        <v>8.9999999999996749E-2</v>
      </c>
    </row>
    <row r="67" spans="1:6" ht="15.75" customHeight="1">
      <c r="A67" s="1368" t="s">
        <v>1347</v>
      </c>
      <c r="B67" s="1369">
        <f>ABS(SUM(C63:G63)/B62)</f>
        <v>1.0000000000000013</v>
      </c>
      <c r="C67" s="1325"/>
    </row>
    <row r="68" spans="1:6" ht="15.75" customHeight="1">
      <c r="A68" s="1368" t="s">
        <v>1348</v>
      </c>
      <c r="B68" s="1370">
        <f>(C62+D62+E62+F62+G62+B62)/(B62*-1)</f>
        <v>0.40328098550068836</v>
      </c>
      <c r="D68" s="1371"/>
    </row>
    <row r="69" spans="1:6" ht="15.75" customHeight="1">
      <c r="B69" s="1372"/>
    </row>
    <row r="70" spans="1:6" ht="15.75" customHeight="1"/>
    <row r="71" spans="1:6" ht="15.75" customHeight="1">
      <c r="A71" s="1373"/>
      <c r="B71" s="1374"/>
      <c r="C71" s="1373"/>
      <c r="D71" s="1374"/>
      <c r="E71" s="1373"/>
      <c r="F71" s="1374"/>
    </row>
    <row r="72" spans="1:6" ht="15.75" customHeight="1">
      <c r="A72" s="1373"/>
      <c r="B72" s="1374"/>
      <c r="C72" s="1373"/>
      <c r="D72" s="1374"/>
      <c r="E72" s="1373"/>
      <c r="F72" s="1374"/>
    </row>
    <row r="73" spans="1:6" ht="15.75" customHeight="1">
      <c r="A73" s="1373"/>
      <c r="B73" s="1374"/>
      <c r="C73" s="1373"/>
      <c r="D73" s="1374"/>
      <c r="E73" s="1373"/>
      <c r="F73" s="1374"/>
    </row>
    <row r="74" spans="1:6" ht="15.75" customHeight="1">
      <c r="A74" s="1373"/>
      <c r="B74" s="1374"/>
      <c r="C74" s="1373"/>
      <c r="D74" s="1374"/>
      <c r="E74" s="1373"/>
      <c r="F74" s="1374"/>
    </row>
    <row r="75" spans="1:6" ht="15.75" customHeight="1">
      <c r="A75" s="1373"/>
      <c r="B75" s="1374"/>
      <c r="C75" s="1373"/>
      <c r="D75" s="1374"/>
      <c r="E75" s="1373"/>
      <c r="F75" s="1374"/>
    </row>
    <row r="76" spans="1:6" ht="15.75" customHeight="1">
      <c r="C76" s="1373"/>
      <c r="D76" s="1374"/>
    </row>
    <row r="77" spans="1:6" ht="15.75" customHeight="1"/>
    <row r="78" spans="1:6" ht="15.75" customHeight="1"/>
    <row r="79" spans="1:6" ht="15.75" customHeight="1">
      <c r="B79" s="1332"/>
    </row>
    <row r="80" spans="1:6" ht="15.75" customHeight="1">
      <c r="B80" s="1375" t="s">
        <v>1303</v>
      </c>
      <c r="C80" s="1376">
        <v>605000</v>
      </c>
      <c r="D80" s="1377"/>
      <c r="E80" s="1377"/>
    </row>
    <row r="81" spans="2:3" ht="15.75" customHeight="1">
      <c r="B81" s="1378" t="s">
        <v>1349</v>
      </c>
      <c r="C81" s="1379">
        <f>C80/1.21</f>
        <v>500000</v>
      </c>
    </row>
    <row r="82" spans="2:3" ht="15.75" customHeight="1">
      <c r="B82" s="1325" t="s">
        <v>1350</v>
      </c>
    </row>
    <row r="83" spans="2:3" ht="15.75" customHeight="1"/>
    <row r="84" spans="2:3" ht="15.75" customHeight="1"/>
    <row r="85" spans="2:3" ht="15.75" customHeight="1"/>
    <row r="86" spans="2:3" ht="15.75" customHeight="1"/>
    <row r="87" spans="2:3" ht="15.75" customHeight="1"/>
    <row r="88" spans="2:3" ht="15.75" customHeight="1"/>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92</vt:i4>
      </vt:variant>
    </vt:vector>
  </HeadingPairs>
  <TitlesOfParts>
    <vt:vector size="92" baseType="lpstr">
      <vt:lpstr>Ejercicio 1</vt:lpstr>
      <vt:lpstr>Ejercicio 2 TEA con TNA</vt:lpstr>
      <vt:lpstr>Ejercicio 3</vt:lpstr>
      <vt:lpstr>Ejercicio 4</vt:lpstr>
      <vt:lpstr>Ejercicio 5</vt:lpstr>
      <vt:lpstr>Ejercicio 6</vt:lpstr>
      <vt:lpstr>Ejercicio 7</vt:lpstr>
      <vt:lpstr>Ejercicio 8</vt:lpstr>
      <vt:lpstr>Ejercicio  9</vt:lpstr>
      <vt:lpstr>Ejercicio 10</vt:lpstr>
      <vt:lpstr>Ejercicio 11</vt:lpstr>
      <vt:lpstr>Ejercicio 12</vt:lpstr>
      <vt:lpstr>Ejercicio 13</vt:lpstr>
      <vt:lpstr>Ejercicio  14</vt:lpstr>
      <vt:lpstr>Ejercicio 15</vt:lpstr>
      <vt:lpstr>Ejercicio  16</vt:lpstr>
      <vt:lpstr>Ejercicio 17</vt:lpstr>
      <vt:lpstr>Ejercico 18</vt:lpstr>
      <vt:lpstr>Ejercicio 19</vt:lpstr>
      <vt:lpstr>Ejercicio 23</vt:lpstr>
      <vt:lpstr>Ejercico 27 PRESTAMO</vt:lpstr>
      <vt:lpstr>Ejercico 32</vt:lpstr>
      <vt:lpstr>Ejercicio 33</vt:lpstr>
      <vt:lpstr>Ejercicio 34 Alternativa 1</vt:lpstr>
      <vt:lpstr>Ejercicio 34 Alternativa 2</vt:lpstr>
      <vt:lpstr>Ejercicio 35 Alternativa 1</vt:lpstr>
      <vt:lpstr>Ejercicio 35 Alternativa 2</vt:lpstr>
      <vt:lpstr>Ejercicio 36</vt:lpstr>
      <vt:lpstr>Parcial</vt:lpstr>
      <vt:lpstr>Sheet1</vt:lpstr>
      <vt:lpstr>Ejercicio 37</vt:lpstr>
      <vt:lpstr>Ejercicio 31</vt:lpstr>
      <vt:lpstr>Ejercicio 30 OK </vt:lpstr>
      <vt:lpstr>prestamo de nuevo ej 30 viejo</vt:lpstr>
      <vt:lpstr>Ej 30 guia nueva 2023 Ch OK</vt:lpstr>
      <vt:lpstr>Ej 31 guia nueva 2023 Ch OK</vt:lpstr>
      <vt:lpstr>Ej 32 guia nueva 2023 Ch OK </vt:lpstr>
      <vt:lpstr>Ej 33 guia nueva 2023 Ch OK</vt:lpstr>
      <vt:lpstr>Ej 34 guia nueva 2023 Ch OK</vt:lpstr>
      <vt:lpstr>Ej35guiaNueva2023Ch PRESTAMO</vt:lpstr>
      <vt:lpstr>Ej 36 guia nueva 2023 Ch OK</vt:lpstr>
      <vt:lpstr>Ej 37 guia nueva 2023 Ch OK</vt:lpstr>
      <vt:lpstr>Ej 38 guia nueva 2023 Ch OK</vt:lpstr>
      <vt:lpstr>1) Fi_060822_CHOCLO_conPrestOk</vt:lpstr>
      <vt:lpstr>1) Fi_060822_CHOCLO PRES EQUIL</vt:lpstr>
      <vt:lpstr>2) Fi_grandoso_bebidasEnerg</vt:lpstr>
      <vt:lpstr>CT de bibidas energ</vt:lpstr>
      <vt:lpstr>prestamo de bebidas energ</vt:lpstr>
      <vt:lpstr>3) 1erP 1C 2023 pisos deck</vt:lpstr>
      <vt:lpstr>3) WC - LISTO</vt:lpstr>
      <vt:lpstr>3) 1erP 1C 2023 pisos deck PTO4</vt:lpstr>
      <vt:lpstr>4) Final Consumo FF INV</vt:lpstr>
      <vt:lpstr>4) Final Consumo FF PURO</vt:lpstr>
      <vt:lpstr>4) Final Consumo pto3</vt:lpstr>
      <vt:lpstr>CT consumo masivo termin chr</vt:lpstr>
      <vt:lpstr>5) 1erPTerm2C2022 LEERNOTA</vt:lpstr>
      <vt:lpstr>CT TERMOS</vt:lpstr>
      <vt:lpstr>5) 1erP Termos 2C 2022 pto2</vt:lpstr>
      <vt:lpstr>CT TERMOS 60</vt:lpstr>
      <vt:lpstr>6) 3er feb 2022 pizzas</vt:lpstr>
      <vt:lpstr>CT pizzas</vt:lpstr>
      <vt:lpstr>7) Recu 1erC 2023“ChancaL" MaqV</vt:lpstr>
      <vt:lpstr>7) Recu 1erC 2023“ChancaL" MaqN</vt:lpstr>
      <vt:lpstr>7) CT </vt:lpstr>
      <vt:lpstr>Demanda(ok) Expl de otra Forma</vt:lpstr>
      <vt:lpstr>7) Prestamo AMERICANO OK</vt:lpstr>
      <vt:lpstr>7) Prestamo maqina nueva año0</vt:lpstr>
      <vt:lpstr>7) Prestamo otra forma</vt:lpstr>
      <vt:lpstr>8) Rec2dC2022 Solo_3_ptosCVUOKA</vt:lpstr>
      <vt:lpstr>8) Rec2dC2022 Solo_3_ptosCVUPUR</vt:lpstr>
      <vt:lpstr>8) Prestamo</vt:lpstr>
      <vt:lpstr>8) Demanda ok</vt:lpstr>
      <vt:lpstr>8) CT con verificacion ok</vt:lpstr>
      <vt:lpstr>8) PTO2 y 3</vt:lpstr>
      <vt:lpstr>9) 3er final dic 2022 Elect</vt:lpstr>
      <vt:lpstr>9) 1 MAQ SOLA Y 70%</vt:lpstr>
      <vt:lpstr>9) CT 1MAQ Y 70%</vt:lpstr>
      <vt:lpstr>9) Prestamo 70%</vt:lpstr>
      <vt:lpstr>9) Prestamo</vt:lpstr>
      <vt:lpstr>10)1erP_2022Jennifer_NoEstaHech</vt:lpstr>
      <vt:lpstr>11) enunciado 290723</vt:lpstr>
      <vt:lpstr>11) FF PRESTAMO1</vt:lpstr>
      <vt:lpstr>Prestamo mal</vt:lpstr>
      <vt:lpstr>PRESTAMO CORRECTO</vt:lpstr>
      <vt:lpstr>CT</vt:lpstr>
      <vt:lpstr>Tasa</vt:lpstr>
      <vt:lpstr>VF - VP</vt:lpstr>
      <vt:lpstr>FF PRESTAMO2</vt:lpstr>
      <vt:lpstr>RESPUESTAS</vt:lpstr>
      <vt:lpstr>FF1 TASA CAMBIADA</vt:lpstr>
      <vt:lpstr>FF2 TASA CAMBIADA</vt:lpstr>
      <vt:lpstr>11) FF PRESTAMO1 PRECIO EQUILIB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dc:creator>
  <cp:lastModifiedBy>Christian</cp:lastModifiedBy>
  <dcterms:created xsi:type="dcterms:W3CDTF">2023-08-04T18:30:15Z</dcterms:created>
  <dcterms:modified xsi:type="dcterms:W3CDTF">2023-08-07T00:32:25Z</dcterms:modified>
</cp:coreProperties>
</file>